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47240" windowHeight="29720" tabRatio="1000" activeTab="0"/>
  </bookViews>
  <sheets>
    <sheet name="Intro" sheetId="1" r:id="rId1"/>
    <sheet name="Spearmint Budget" sheetId="2" r:id="rId2"/>
    <sheet name="Breakeven Selling Prices" sheetId="3" r:id="rId3"/>
    <sheet name="Price &amp; Yield Anal." sheetId="4" r:id="rId4"/>
    <sheet name="Machinery &amp; Building Req" sheetId="5" r:id="rId5"/>
    <sheet name="Int. Costs &amp; Depr. " sheetId="6" r:id="rId6"/>
    <sheet name="Estab. Costs" sheetId="7" r:id="rId7"/>
    <sheet name="Full Prod. Costs" sheetId="8" r:id="rId8"/>
    <sheet name="Prorated Loss" sheetId="9" r:id="rId9"/>
    <sheet name="Selected Inputs" sheetId="10" r:id="rId10"/>
  </sheets>
  <definedNames>
    <definedName name="_xlnm.Print_Area" localSheetId="6">'Estab. Costs'!$B$2:$G$76</definedName>
    <definedName name="_xlnm.Print_Area" localSheetId="7">'Full Prod. Costs'!$B$2:$G$73</definedName>
    <definedName name="_xlnm.Print_Area" localSheetId="1">'Spearmint Budget'!$B$2:$G$47</definedName>
    <definedName name="Z_5E1511CB_1BE7_4FEF_BA04_EFB03C117C7B_.wvu.PrintArea" localSheetId="6" hidden="1">'Estab. Costs'!$B$1:$G$65</definedName>
    <definedName name="Z_86D1777E_F343_4E48_BB72_95C0C2CCB808_.wvu.PrintArea" localSheetId="6" hidden="1">'Estab. Costs'!$B$2:$G$76</definedName>
    <definedName name="Z_86D1777E_F343_4E48_BB72_95C0C2CCB808_.wvu.PrintArea" localSheetId="7" hidden="1">'Full Prod. Costs'!$B$2:$G$73</definedName>
    <definedName name="Z_86D1777E_F343_4E48_BB72_95C0C2CCB808_.wvu.PrintArea" localSheetId="1" hidden="1">'Spearmint Budget'!$B$2:$G$47</definedName>
  </definedNames>
  <calcPr fullCalcOnLoad="1"/>
</workbook>
</file>

<file path=xl/sharedStrings.xml><?xml version="1.0" encoding="utf-8"?>
<sst xmlns="http://schemas.openxmlformats.org/spreadsheetml/2006/main" count="558" uniqueCount="308">
  <si>
    <r>
      <t xml:space="preserve">Values in orange are provided by the grower and can be changed. To customize a production scenario, the user must change the </t>
    </r>
    <r>
      <rPr>
        <sz val="11"/>
        <color indexed="53"/>
        <rFont val="Times New Roman"/>
        <family val="1"/>
      </rPr>
      <t>orange</t>
    </r>
    <r>
      <rPr>
        <sz val="11"/>
        <color indexed="8"/>
        <rFont val="Times New Roman"/>
        <family val="1"/>
      </rPr>
      <t xml:space="preserve"> values in the following spreadsheets:  Selected Inputs, Establishment Costs, Full Production Costs, Machinery &amp; Building Requirements, Interest Costs &amp; Depreciation, Price &amp; Yield Analysis</t>
    </r>
  </si>
  <si>
    <t xml:space="preserve">This budget is based on a 75-acre plot in a 300-acre spearmint field within a 1,000-acre farm. Out of the 75 acres, 5 acres are dedicated to roads, loading area, irrigation system, etc. Therefore, this budget will be based on a plot with a total productive area of 70 acres and a total field productive area of 280 acres in spearmint (there are 4 plots in the field). </t>
  </si>
  <si>
    <t>Dollar Amount to be Prorated</t>
  </si>
  <si>
    <t>Prorated Amount Per Year</t>
  </si>
  <si>
    <t>Lorsban®-4E</t>
  </si>
  <si>
    <t>Fertilizing - Dry (Fall)</t>
  </si>
  <si>
    <t>HerbicideApplication (February)</t>
  </si>
  <si>
    <t>Gramoxone Inteon®</t>
  </si>
  <si>
    <t>Cultivating and Ditching (March)</t>
  </si>
  <si>
    <t>Fungicide Application (April)</t>
  </si>
  <si>
    <t>Spreader Sticker</t>
  </si>
  <si>
    <r>
      <t xml:space="preserve">Herbicide Spot Spraying (May) </t>
    </r>
    <r>
      <rPr>
        <b/>
        <vertAlign val="superscript"/>
        <sz val="11"/>
        <color indexed="8"/>
        <rFont val="Times New Roman"/>
        <family val="1"/>
      </rPr>
      <t>[2]</t>
    </r>
  </si>
  <si>
    <t>Application Cost</t>
  </si>
  <si>
    <t>Stinger®</t>
  </si>
  <si>
    <r>
      <t xml:space="preserve">Insecticide Application (May) </t>
    </r>
    <r>
      <rPr>
        <b/>
        <vertAlign val="superscript"/>
        <sz val="11"/>
        <color indexed="8"/>
        <rFont val="Times New Roman"/>
        <family val="1"/>
      </rPr>
      <t>[2]</t>
    </r>
  </si>
  <si>
    <t>Fungicide Application (May)</t>
  </si>
  <si>
    <t>Rally®</t>
  </si>
  <si>
    <t>Orthene® 97%</t>
  </si>
  <si>
    <r>
      <t xml:space="preserve">Insecticide Application (May) </t>
    </r>
    <r>
      <rPr>
        <b/>
        <vertAlign val="superscript"/>
        <sz val="11"/>
        <color indexed="8"/>
        <rFont val="Times New Roman"/>
        <family val="1"/>
      </rPr>
      <t>[3]</t>
    </r>
  </si>
  <si>
    <r>
      <t xml:space="preserve">Fungicide Application (June) </t>
    </r>
    <r>
      <rPr>
        <b/>
        <vertAlign val="superscript"/>
        <sz val="11"/>
        <color indexed="8"/>
        <rFont val="Times New Roman"/>
        <family val="1"/>
      </rPr>
      <t>[4]</t>
    </r>
  </si>
  <si>
    <t>Harvesting and Processing (July)</t>
  </si>
  <si>
    <t>Fertilizing - Wet (July)</t>
  </si>
  <si>
    <t>Ditching (July)</t>
  </si>
  <si>
    <t>Harvesting and Processing (September)</t>
  </si>
  <si>
    <t>Ditching (September)</t>
  </si>
  <si>
    <t>Residue Disposal (October)</t>
  </si>
  <si>
    <t>Nematicide Application (October)</t>
  </si>
  <si>
    <t xml:space="preserve">Overhead (legal, accounting, etc.) 3% </t>
  </si>
  <si>
    <t>[2] Application to 10% of the acreage</t>
  </si>
  <si>
    <t>[3] Application to 30% of the acreage</t>
  </si>
  <si>
    <t>[4] Application to 50% of the acreage</t>
  </si>
  <si>
    <t>Number of Years</t>
  </si>
  <si>
    <t>Prices for Selected Inputs</t>
  </si>
  <si>
    <t>Price [1]</t>
  </si>
  <si>
    <t xml:space="preserve">Acramite®-50WS </t>
  </si>
  <si>
    <t>Insecticide</t>
  </si>
  <si>
    <t>/lb.</t>
  </si>
  <si>
    <t>Herbicide</t>
  </si>
  <si>
    <t>/gal.</t>
  </si>
  <si>
    <t xml:space="preserve">Buctril® 2E </t>
  </si>
  <si>
    <t>/oz.</t>
  </si>
  <si>
    <t>Nematicide</t>
  </si>
  <si>
    <t>Nitrogen (dry and liquid)</t>
  </si>
  <si>
    <t>Fertilizer</t>
  </si>
  <si>
    <t xml:space="preserve">Nutra-Buffer </t>
  </si>
  <si>
    <t>Water Mixer</t>
  </si>
  <si>
    <t>Fungicide</t>
  </si>
  <si>
    <t>Polyacrylamide (PAM)</t>
  </si>
  <si>
    <t>Soil Preserver</t>
  </si>
  <si>
    <t>"Preference" Spreader Stick</t>
  </si>
  <si>
    <t xml:space="preserve">Spreader Sticker </t>
  </si>
  <si>
    <t>/ac.</t>
  </si>
  <si>
    <t>Cost of Water</t>
  </si>
  <si>
    <r>
      <t xml:space="preserve">Electricity Charge </t>
    </r>
    <r>
      <rPr>
        <sz val="8"/>
        <color indexed="8"/>
        <rFont val="Times New Roman"/>
        <family val="1"/>
      </rPr>
      <t>(when using a center-pivot irrigation system)</t>
    </r>
  </si>
  <si>
    <t>Vydate® C-LV</t>
  </si>
  <si>
    <t>Diesel Fuel</t>
  </si>
  <si>
    <t>Irrigation Labor, Center-Pivot System</t>
  </si>
  <si>
    <t>Irrigation Labor, Rill System</t>
  </si>
  <si>
    <t>/year/ac.</t>
  </si>
  <si>
    <t>Machine Labor</t>
  </si>
  <si>
    <t>/hr.</t>
  </si>
  <si>
    <t>Management Salary</t>
  </si>
  <si>
    <t>Residual Disposal, Establishment Year</t>
  </si>
  <si>
    <t>Residual Disposal, Full Production Year</t>
  </si>
  <si>
    <t>Roots, Scotch Spearmint</t>
  </si>
  <si>
    <t>Roots, Native Spearmint</t>
  </si>
  <si>
    <t>Weeding Cost, First Year</t>
  </si>
  <si>
    <r>
      <t xml:space="preserve">Weeding Cost, Full Production Year </t>
    </r>
    <r>
      <rPr>
        <sz val="8"/>
        <color indexed="8"/>
        <rFont val="Times New Roman"/>
        <family val="1"/>
      </rPr>
      <t>(on average because not all acreage is done)</t>
    </r>
  </si>
  <si>
    <t>Estimated production - establishment year (pounds of oil per acre) =</t>
  </si>
  <si>
    <t>lbs</t>
  </si>
  <si>
    <t xml:space="preserve">Crop Insurance </t>
  </si>
  <si>
    <t>Machinery Hours [1]</t>
  </si>
  <si>
    <t>Labor Hours</t>
  </si>
  <si>
    <t>Repair Per Activity</t>
  </si>
  <si>
    <t>Gallons Per Activity</t>
  </si>
  <si>
    <t>Disking</t>
  </si>
  <si>
    <t>Ripping</t>
  </si>
  <si>
    <t>Chisel Plowing</t>
  </si>
  <si>
    <t>Roller Harrowing</t>
  </si>
  <si>
    <t>Spot Spraying</t>
  </si>
  <si>
    <t>Drain Building</t>
  </si>
  <si>
    <t>Ditching</t>
  </si>
  <si>
    <t>Miscellaneous</t>
  </si>
  <si>
    <t>Total Cost Per Acre</t>
  </si>
  <si>
    <t>[1] Obtained from Hinman, H., 2001, "Cost of Producing Native and Scotch Spearmint Under Rill and Side-Roll Irrigation Central Washington"</t>
  </si>
  <si>
    <t>15-Foot Offset Disk</t>
  </si>
  <si>
    <t>Three-Quarter-Ton Pickup</t>
  </si>
  <si>
    <t>Cost Per Unit</t>
  </si>
  <si>
    <t>Units Per Acre</t>
  </si>
  <si>
    <t>Soil Preparation (Fall)</t>
  </si>
  <si>
    <t>Disking (two times)</t>
  </si>
  <si>
    <t>Ripping (two times)</t>
  </si>
  <si>
    <t>Fumigation (Fall)</t>
  </si>
  <si>
    <t>Custom Fumigate Application</t>
  </si>
  <si>
    <t>Mocap®</t>
  </si>
  <si>
    <t>Fertilizing - Dry (March)</t>
  </si>
  <si>
    <t>Custom Ground Dry Fertilizer Application</t>
  </si>
  <si>
    <t>Roller Harrowing (March)</t>
  </si>
  <si>
    <t>Custom Planting of Spearmint Roots</t>
  </si>
  <si>
    <t>Scotch Spearmint Roots</t>
  </si>
  <si>
    <t>Herbicide Application (March)</t>
  </si>
  <si>
    <t>Custom Ground Liquid Application</t>
  </si>
  <si>
    <t>Sinbar®</t>
  </si>
  <si>
    <t>Chateau®</t>
  </si>
  <si>
    <t>Prowl®</t>
  </si>
  <si>
    <t>Cultivating and Ditching (April)</t>
  </si>
  <si>
    <t>Irrigation (April-October)</t>
  </si>
  <si>
    <t>Water Charge</t>
  </si>
  <si>
    <t>Polyacrylamide (PAM) Application</t>
  </si>
  <si>
    <t>PAM Applicator</t>
  </si>
  <si>
    <t>Herbicide Application (April)</t>
  </si>
  <si>
    <t>SELECT®</t>
  </si>
  <si>
    <t>Crop Oil</t>
  </si>
  <si>
    <t>Spraying (May-October)</t>
  </si>
  <si>
    <t>Field Border Spray Application</t>
  </si>
  <si>
    <t>Fungicide Application (June)</t>
  </si>
  <si>
    <t>Quadris®</t>
  </si>
  <si>
    <t>Fertilizing - Dry (June)</t>
  </si>
  <si>
    <t>Aerial Dry Fertilizer Application</t>
  </si>
  <si>
    <r>
      <t xml:space="preserve">Insecticide Application (June) </t>
    </r>
    <r>
      <rPr>
        <b/>
        <vertAlign val="superscript"/>
        <sz val="11"/>
        <color indexed="8"/>
        <rFont val="Times New Roman"/>
        <family val="1"/>
      </rPr>
      <t>[1]</t>
    </r>
  </si>
  <si>
    <t>Aerial Chemical Application</t>
  </si>
  <si>
    <t>Acramite®-50WS</t>
  </si>
  <si>
    <t>Nutra-Buffer</t>
  </si>
  <si>
    <t>First-Year Weeding Cost</t>
  </si>
  <si>
    <r>
      <t>Insecticide Application (July)</t>
    </r>
    <r>
      <rPr>
        <b/>
        <vertAlign val="superscript"/>
        <sz val="11"/>
        <color indexed="8"/>
        <rFont val="Times New Roman"/>
        <family val="1"/>
      </rPr>
      <t xml:space="preserve"> [2]</t>
    </r>
  </si>
  <si>
    <t>Harvesting and Processing (August)</t>
  </si>
  <si>
    <t>Market Assessment (September)</t>
  </si>
  <si>
    <t>Residue Disposal (September)</t>
  </si>
  <si>
    <t>Cultivating and Ditching (September)</t>
  </si>
  <si>
    <t>Overhead (legal, accounting, etc.) 3%</t>
  </si>
  <si>
    <t>[1] Application to 10% of the acreage</t>
  </si>
  <si>
    <t>[2] Application to 30% of the acreage</t>
  </si>
  <si>
    <t>gal.</t>
  </si>
  <si>
    <t>lb.</t>
  </si>
  <si>
    <t>oz.</t>
  </si>
  <si>
    <t>pt.</t>
  </si>
  <si>
    <t>qt.</t>
  </si>
  <si>
    <t>Table 9SR. Data on Costs for a Full Production Year of a 70-Acre Scotch Spearmint Field Under Rill Irrigation</t>
  </si>
  <si>
    <t>Full Production Year</t>
  </si>
  <si>
    <t>Second-Year Revenue</t>
  </si>
  <si>
    <t>Table 3SR. Breakeven Selling Prices Per Pound of Scotch Spearmint Oil Produced Under Rill Irrigation [1]</t>
  </si>
  <si>
    <t>Cost Per Acre</t>
  </si>
  <si>
    <t>Your Cost</t>
  </si>
  <si>
    <t>Breakeven Price (per pound)</t>
  </si>
  <si>
    <t>Your Cost (per pound)</t>
  </si>
  <si>
    <t>Total Variable Cost</t>
  </si>
  <si>
    <t>Machinery Insurance and Taxes</t>
  </si>
  <si>
    <t>3. Total Cash Cost and Depreciation</t>
  </si>
  <si>
    <t>Total Cash Costs</t>
  </si>
  <si>
    <t>Machinery Depreciation</t>
  </si>
  <si>
    <t>Total Cash Cost and Depreciation</t>
  </si>
  <si>
    <t>Machinery Interest</t>
  </si>
  <si>
    <t>[1] Assumes a production of 157 pounds of Scotch spearmint oil.</t>
  </si>
  <si>
    <t>[2] If price is below this level, the crop is uneconomical to produce.</t>
  </si>
  <si>
    <t>[3] Price allows producer to stay in business in the short run.</t>
  </si>
  <si>
    <t>[4] Price allows producer to stay in business in the long run.</t>
  </si>
  <si>
    <t>[5] Price covers all cash and opportunity costs.</t>
  </si>
  <si>
    <t>Table 4SR. Estimated Net Returns Per Acre at Various Price and Yield of Scotch Spearmint Under Rill Irrigation in a Full Production Year</t>
  </si>
  <si>
    <t>Price (per pound)</t>
  </si>
  <si>
    <t>Yield (pounds per acre)</t>
  </si>
  <si>
    <t>Table 5SR. Machinery and Building Requirements of a 280-Acre Producing Farm, Scotch Spearmint Under Rill Irrigation</t>
  </si>
  <si>
    <t>Purchase Price</t>
  </si>
  <si>
    <t>225-Horsepower Wheel Tractor</t>
  </si>
  <si>
    <t>100-Horsepower Wheel Tractor</t>
  </si>
  <si>
    <t>15-Foot Roller Harrow</t>
  </si>
  <si>
    <t>15-Foot Offset Disc</t>
  </si>
  <si>
    <t>7-Foot Shank Ripper</t>
  </si>
  <si>
    <t>5-Row Cultivator</t>
  </si>
  <si>
    <t>17-Foot Chisel Chopper</t>
  </si>
  <si>
    <t>5-Row Corrugator</t>
  </si>
  <si>
    <t>Four-Wheel ATV</t>
  </si>
  <si>
    <t>ATV Sprayer</t>
  </si>
  <si>
    <t xml:space="preserve">Three-Quarter-Ton Pickup </t>
  </si>
  <si>
    <t>Labor Pickup</t>
  </si>
  <si>
    <t>Machine Shop</t>
  </si>
  <si>
    <t>Polyacrylamide (PAM) Applicator</t>
  </si>
  <si>
    <t>Rill Irrigation</t>
  </si>
  <si>
    <t>Table 6SR. Per-Hour/Per-Acre Machinery Use Under Rill Irrigation System</t>
  </si>
  <si>
    <t>Total Purchase Price</t>
  </si>
  <si>
    <t>Years of Use</t>
  </si>
  <si>
    <t>Depreciation Cost</t>
  </si>
  <si>
    <t>Interest Cost</t>
  </si>
  <si>
    <t>Housing, Taxes, and Insurance [1]</t>
  </si>
  <si>
    <t>Repair Per Hour</t>
  </si>
  <si>
    <t>Fuel Type</t>
  </si>
  <si>
    <t>Gallons Per Hour</t>
  </si>
  <si>
    <t xml:space="preserve">Fuel and Lubrication [2] </t>
  </si>
  <si>
    <t>Cost Per Hour</t>
  </si>
  <si>
    <t xml:space="preserve">Rill Irrigation </t>
  </si>
  <si>
    <t>Salvage Value</t>
  </si>
  <si>
    <t>Number of Acres</t>
  </si>
  <si>
    <t>[2] Adding 15% for lubrication costs</t>
  </si>
  <si>
    <t>Table 7SR. Cost Per Acre of Each Activity Under Rill Irrigation System</t>
  </si>
  <si>
    <t>Estimated production of Scotch spearmint is 66 pounds of oil per acre during the establishment year. Annual production during each of the three production years is 157 pounds per acre (94 pounds during the July harvest and 63 pounds during the September harvest).</t>
  </si>
  <si>
    <t>Price received for Scotch spearmint oil is $16 per pound.</t>
  </si>
  <si>
    <t>Interest on operating loans is assumed to be 7 percent. Return on alternative investments is assumed to be 7 percent and represents the opportunity cost of investments in machinery and irrigation equipment.</t>
  </si>
  <si>
    <t>The information in this publication serves as a general guide for a modern and well-managed spearmint farm as of 2010. To avoid unwarranted conclusions for any particular operation, the reader is asked to closely examine the assumptions used. If they are not appropriate for a given situation, adjust the costs and/or returns as needed.</t>
  </si>
  <si>
    <t>Table 2SR. Cost Per Acre of Establishing and Producing Scotch Spearmint Under Rill Irrigation</t>
  </si>
  <si>
    <t>Estimated Production (pounds of oil per acre)</t>
  </si>
  <si>
    <t>Estimated Price (per pound)</t>
  </si>
  <si>
    <t>Total Returns (per acre)</t>
  </si>
  <si>
    <t>Variable Costs (per acre)</t>
  </si>
  <si>
    <t>Soil Preparation (includes labor for disk, rip, chisel plow, and roll harrow)</t>
  </si>
  <si>
    <t>Fumigation</t>
  </si>
  <si>
    <t>Planting (costs of plants and labor)</t>
  </si>
  <si>
    <t>Field Activities (cost of chemical and application)</t>
  </si>
  <si>
    <t>Root Boar Control</t>
  </si>
  <si>
    <t>Herbicide Application</t>
  </si>
  <si>
    <t xml:space="preserve">Fertilizing </t>
  </si>
  <si>
    <t>Insecticide, Fungicide, and Nematicide Application</t>
  </si>
  <si>
    <t>Irrigation and Polyacrylamide (PAM) Application</t>
  </si>
  <si>
    <t>Cultivating and Ditching</t>
  </si>
  <si>
    <t>Field Border Spraying</t>
  </si>
  <si>
    <t>Custom Harvesting and Processing</t>
  </si>
  <si>
    <t>Market Assessment</t>
  </si>
  <si>
    <t>Residue Disposal</t>
  </si>
  <si>
    <t>Machinery Fueling and Lubrication</t>
  </si>
  <si>
    <t>Crop Insurance</t>
  </si>
  <si>
    <t>Overhead (3% of variable costs)</t>
  </si>
  <si>
    <t>Fixed Costs (per acre)</t>
  </si>
  <si>
    <t>Machine Depreciation</t>
  </si>
  <si>
    <t xml:space="preserve">Machine Interest </t>
  </si>
  <si>
    <t>Machine Housing, Insurance, and Taxes</t>
  </si>
  <si>
    <t>Land Rent</t>
  </si>
  <si>
    <t>Management Charge</t>
  </si>
  <si>
    <t>Prorated First-Year Loss</t>
  </si>
  <si>
    <t>Total Cost (per acre)</t>
  </si>
  <si>
    <t>Net First-Year Loss</t>
  </si>
  <si>
    <t>Budget Assumptions and Information</t>
  </si>
  <si>
    <t>5.</t>
  </si>
  <si>
    <t>6.</t>
  </si>
  <si>
    <t>7.</t>
  </si>
  <si>
    <t>8.</t>
  </si>
  <si>
    <t>9.</t>
  </si>
  <si>
    <t>10.</t>
  </si>
  <si>
    <t>Establishing Year</t>
  </si>
  <si>
    <t xml:space="preserve">Establishment </t>
  </si>
  <si>
    <t>Harvest</t>
  </si>
  <si>
    <t>Labor</t>
  </si>
  <si>
    <t>Maintenance and Repairs</t>
  </si>
  <si>
    <t xml:space="preserve">Machinery Repair </t>
  </si>
  <si>
    <t>Other Variable Costs</t>
  </si>
  <si>
    <t>Total Variable Costs</t>
  </si>
  <si>
    <t>Total Fixed Costs</t>
  </si>
  <si>
    <t>Irrigation System</t>
  </si>
  <si>
    <t>Number</t>
  </si>
  <si>
    <t>Interest Rate</t>
  </si>
  <si>
    <t>Input</t>
  </si>
  <si>
    <t>Chemicals</t>
  </si>
  <si>
    <t>Phosphate</t>
  </si>
  <si>
    <t>Sulfur</t>
  </si>
  <si>
    <t>Potash</t>
  </si>
  <si>
    <t>Zinc</t>
  </si>
  <si>
    <t>Services</t>
  </si>
  <si>
    <t>Other</t>
  </si>
  <si>
    <t>Gasoline</t>
  </si>
  <si>
    <t>Thistol</t>
  </si>
  <si>
    <t>Purpose</t>
  </si>
  <si>
    <t xml:space="preserve">Sulfur </t>
  </si>
  <si>
    <t>Blade</t>
  </si>
  <si>
    <t>Total Cost</t>
  </si>
  <si>
    <t>Land (rent per year per acre)</t>
  </si>
  <si>
    <t>Establishment Year</t>
  </si>
  <si>
    <t>Nitrogen</t>
  </si>
  <si>
    <t>Planting (March)</t>
  </si>
  <si>
    <t>Sinbar</t>
  </si>
  <si>
    <r>
      <rPr>
        <vertAlign val="superscript"/>
        <sz val="11"/>
        <color indexed="8"/>
        <rFont val="Times New Roman"/>
        <family val="1"/>
      </rPr>
      <t>[1]</t>
    </r>
    <r>
      <rPr>
        <sz val="11"/>
        <color indexed="8"/>
        <rFont val="Times New Roman"/>
        <family val="1"/>
      </rPr>
      <t xml:space="preserve"> Prices include consultant services </t>
    </r>
  </si>
  <si>
    <t>Weeding (July)</t>
  </si>
  <si>
    <t>Annual Hours</t>
  </si>
  <si>
    <t>Diesel</t>
  </si>
  <si>
    <t xml:space="preserve">Gas </t>
  </si>
  <si>
    <t xml:space="preserve">Repair </t>
  </si>
  <si>
    <t xml:space="preserve">Total Variable Cost </t>
  </si>
  <si>
    <t xml:space="preserve">Total Cost </t>
  </si>
  <si>
    <t xml:space="preserve">Total Fixed Cost  </t>
  </si>
  <si>
    <t>[1] Estimated as 1% of current value</t>
  </si>
  <si>
    <t>Harrowing</t>
  </si>
  <si>
    <t>Management</t>
  </si>
  <si>
    <t>Activity</t>
  </si>
  <si>
    <t xml:space="preserve">Tooling </t>
  </si>
  <si>
    <t>Overhead</t>
  </si>
  <si>
    <t>1.</t>
  </si>
  <si>
    <t>2.</t>
  </si>
  <si>
    <t>3.</t>
  </si>
  <si>
    <t>4.</t>
  </si>
  <si>
    <t xml:space="preserve">PAM </t>
  </si>
  <si>
    <t>Harrowing (March)</t>
  </si>
  <si>
    <r>
      <t xml:space="preserve">Root Boar Control (Fall) </t>
    </r>
    <r>
      <rPr>
        <b/>
        <vertAlign val="superscript"/>
        <sz val="11"/>
        <color indexed="8"/>
        <rFont val="Times New Roman"/>
        <family val="1"/>
      </rPr>
      <t>[1]</t>
    </r>
  </si>
  <si>
    <t>[1] Application through the irrigation system</t>
  </si>
  <si>
    <t>Weeding</t>
  </si>
  <si>
    <t>Your Costs</t>
  </si>
  <si>
    <t>1. Total Variable Cost</t>
  </si>
  <si>
    <t>2. Total Cash Costs</t>
  </si>
  <si>
    <t>4. Total Cost</t>
  </si>
  <si>
    <t>The annual irrigation water charge is $75 per acre.</t>
  </si>
  <si>
    <t>Full Production Years 2-4</t>
  </si>
  <si>
    <r>
      <t xml:space="preserve">Values in </t>
    </r>
    <r>
      <rPr>
        <b/>
        <sz val="11"/>
        <color indexed="8"/>
        <rFont val="Times New Roman"/>
        <family val="1"/>
      </rPr>
      <t>black</t>
    </r>
    <r>
      <rPr>
        <sz val="11"/>
        <color indexed="8"/>
        <rFont val="Times New Roman"/>
        <family val="1"/>
      </rPr>
      <t xml:space="preserve"> are calculated using the input data and cannot be modified.</t>
    </r>
  </si>
  <si>
    <t>[2]</t>
  </si>
  <si>
    <t>[3]</t>
  </si>
  <si>
    <t>[4]</t>
  </si>
  <si>
    <t>[5]</t>
  </si>
  <si>
    <t>Table 8SR. Data on Costs During an Establishment Year of a 70-Acre Scotch Spearmint Field Under Rill Irrigation</t>
  </si>
  <si>
    <t>Prorated Loss Calculator</t>
  </si>
  <si>
    <t xml:space="preserve">2010 Cost Estimates of Establishing and Producing Scotch Spearmint </t>
  </si>
  <si>
    <t>Under Rill Irrigation in Washington State</t>
  </si>
  <si>
    <t>Rent for land is assumed to be $310 per acre per year. No land taxes are considered.</t>
  </si>
  <si>
    <t>Rill irrigation system costs include $6,500 in equipment and labor at $75 per acre.</t>
  </si>
  <si>
    <t>Scotch spearmint has a four-year life, including the establishment year.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</si>
</sst>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s>
  <fonts count="38">
    <font>
      <sz val="11"/>
      <color indexed="8"/>
      <name val="Calibri"/>
      <family val="2"/>
    </font>
    <font>
      <b/>
      <sz val="14"/>
      <color indexed="8"/>
      <name val="Times New Roman"/>
      <family val="1"/>
    </font>
    <font>
      <sz val="11"/>
      <color indexed="8"/>
      <name val="Times New Roman"/>
      <family val="1"/>
    </font>
    <font>
      <sz val="12"/>
      <color indexed="8"/>
      <name val="Times New Roman"/>
      <family val="1"/>
    </font>
    <font>
      <b/>
      <sz val="11"/>
      <color indexed="8"/>
      <name val="Times New Roman"/>
      <family val="1"/>
    </font>
    <font>
      <b/>
      <sz val="11"/>
      <color indexed="10"/>
      <name val="Times New Roman"/>
      <family val="1"/>
    </font>
    <font>
      <sz val="11"/>
      <color indexed="53"/>
      <name val="Times New Roman"/>
      <family val="1"/>
    </font>
    <font>
      <b/>
      <u val="single"/>
      <sz val="11"/>
      <color indexed="8"/>
      <name val="Times New Roman"/>
      <family val="1"/>
    </font>
    <font>
      <sz val="11"/>
      <name val="Times New Roman"/>
      <family val="1"/>
    </font>
    <font>
      <b/>
      <sz val="12"/>
      <color indexed="8"/>
      <name val="Times New Roman"/>
      <family val="1"/>
    </font>
    <font>
      <b/>
      <sz val="11"/>
      <name val="Times New Roman"/>
      <family val="1"/>
    </font>
    <font>
      <b/>
      <sz val="11"/>
      <color indexed="53"/>
      <name val="Times New Roman"/>
      <family val="1"/>
    </font>
    <font>
      <vertAlign val="superscript"/>
      <sz val="11"/>
      <color indexed="8"/>
      <name val="Times New Roman"/>
      <family val="1"/>
    </font>
    <font>
      <sz val="8"/>
      <color indexed="8"/>
      <name val="Times New Roman"/>
      <family val="1"/>
    </font>
    <font>
      <b/>
      <vertAlign val="superscript"/>
      <sz val="11"/>
      <color indexed="8"/>
      <name val="Times New Roman"/>
      <family val="1"/>
    </font>
    <font>
      <u val="single"/>
      <sz val="11"/>
      <color indexed="8"/>
      <name val="Times New Roman"/>
      <family val="1"/>
    </font>
    <font>
      <i/>
      <sz val="11"/>
      <color indexed="8"/>
      <name val="Times New Roman"/>
      <family val="1"/>
    </font>
    <font>
      <sz val="9"/>
      <color indexed="8"/>
      <name val="Times New Roman"/>
      <family val="1"/>
    </font>
    <font>
      <vertAlign val="superscript"/>
      <sz val="10"/>
      <color indexed="8"/>
      <name val="Times New Roman"/>
      <family val="1"/>
    </font>
    <font>
      <vertAlign val="superscript"/>
      <sz val="8"/>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thin"/>
      <bottom style="thin">
        <color indexed="55"/>
      </bottom>
    </border>
    <border>
      <left/>
      <right/>
      <top style="thin">
        <color indexed="55"/>
      </top>
      <bottom style="thin"/>
    </border>
    <border>
      <left/>
      <right/>
      <top/>
      <bottom style="hair"/>
    </border>
    <border>
      <left/>
      <right/>
      <top style="hair"/>
      <bottom style="hair"/>
    </border>
    <border>
      <left/>
      <right/>
      <top style="medium"/>
      <bottom style="thin"/>
    </border>
    <border>
      <left/>
      <right/>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5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Fill="1" applyBorder="1" applyAlignment="1">
      <alignment/>
    </xf>
    <xf numFmtId="0" fontId="6" fillId="0" borderId="0" xfId="0" applyFont="1" applyAlignment="1">
      <alignment/>
    </xf>
    <xf numFmtId="0" fontId="2" fillId="0" borderId="0" xfId="0" applyFont="1" applyAlignment="1" quotePrefix="1">
      <alignment/>
    </xf>
    <xf numFmtId="9" fontId="2" fillId="0" borderId="0" xfId="0" applyNumberFormat="1" applyFont="1" applyAlignment="1">
      <alignment/>
    </xf>
    <xf numFmtId="2" fontId="6" fillId="0" borderId="0" xfId="0" applyNumberFormat="1" applyFont="1" applyAlignment="1">
      <alignment/>
    </xf>
    <xf numFmtId="0" fontId="15"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0" fontId="2" fillId="0" borderId="11" xfId="0" applyFont="1" applyBorder="1" applyAlignment="1">
      <alignment/>
    </xf>
    <xf numFmtId="0" fontId="2" fillId="0" borderId="0" xfId="0" applyFont="1" applyFill="1" applyAlignment="1">
      <alignment/>
    </xf>
    <xf numFmtId="3" fontId="6" fillId="0" borderId="0" xfId="0" applyNumberFormat="1" applyFont="1" applyFill="1" applyBorder="1" applyAlignment="1">
      <alignment/>
    </xf>
    <xf numFmtId="0" fontId="6" fillId="0" borderId="0" xfId="0" applyFont="1" applyFill="1" applyBorder="1" applyAlignment="1">
      <alignment/>
    </xf>
    <xf numFmtId="0" fontId="6" fillId="0" borderId="11" xfId="0" applyFont="1" applyBorder="1" applyAlignment="1">
      <alignment/>
    </xf>
    <xf numFmtId="3" fontId="6" fillId="0" borderId="0" xfId="0" applyNumberFormat="1" applyFont="1" applyAlignment="1">
      <alignment/>
    </xf>
    <xf numFmtId="0" fontId="1" fillId="0" borderId="0" xfId="0" applyFont="1" applyAlignment="1">
      <alignment/>
    </xf>
    <xf numFmtId="0" fontId="15" fillId="0" borderId="0" xfId="0" applyFont="1" applyFill="1" applyAlignment="1">
      <alignment/>
    </xf>
    <xf numFmtId="2" fontId="6" fillId="0" borderId="0" xfId="0" applyNumberFormat="1" applyFont="1" applyBorder="1" applyAlignment="1">
      <alignment/>
    </xf>
    <xf numFmtId="0" fontId="2" fillId="0" borderId="0" xfId="0" applyFont="1" applyAlignment="1" applyProtection="1">
      <alignment/>
      <protection locked="0"/>
    </xf>
    <xf numFmtId="0" fontId="1" fillId="0" borderId="0" xfId="0" applyFont="1" applyAlignment="1" applyProtection="1">
      <alignment horizontal="left"/>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5" fillId="0" borderId="0" xfId="0" applyFont="1" applyFill="1" applyAlignment="1" applyProtection="1">
      <alignment/>
      <protection locked="0"/>
    </xf>
    <xf numFmtId="0" fontId="2" fillId="0" borderId="0" xfId="0" applyFont="1" applyFill="1" applyAlignment="1" applyProtection="1">
      <alignment/>
      <protection locked="0"/>
    </xf>
    <xf numFmtId="0" fontId="2" fillId="0" borderId="0" xfId="0" applyFont="1" applyBorder="1" applyAlignment="1" applyProtection="1" quotePrefix="1">
      <alignment horizontal="right" vertical="top" wrapText="1"/>
      <protection locked="0"/>
    </xf>
    <xf numFmtId="0" fontId="2" fillId="0" borderId="0" xfId="0" applyFont="1" applyAlignment="1" applyProtection="1">
      <alignment horizontal="right"/>
      <protection locked="0"/>
    </xf>
    <xf numFmtId="0" fontId="2" fillId="0" borderId="0" xfId="0" applyFont="1" applyBorder="1" applyAlignment="1" applyProtection="1" quotePrefix="1">
      <alignment horizontal="right"/>
      <protection locked="0"/>
    </xf>
    <xf numFmtId="0" fontId="2" fillId="0" borderId="0" xfId="0" applyFont="1" applyAlignment="1" applyProtection="1" quotePrefix="1">
      <alignment horizontal="right"/>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quotePrefix="1">
      <alignment horizontal="right" vertical="top"/>
      <protection locked="0"/>
    </xf>
    <xf numFmtId="0" fontId="2" fillId="0" borderId="0" xfId="0" applyFont="1" applyAlignment="1" applyProtection="1" quotePrefix="1">
      <alignment horizontal="right" vertical="top"/>
      <protection locked="0"/>
    </xf>
    <xf numFmtId="10" fontId="2" fillId="0" borderId="0" xfId="58" applyNumberFormat="1" applyFont="1" applyFill="1" applyAlignment="1" applyProtection="1">
      <alignment/>
      <protection/>
    </xf>
    <xf numFmtId="0" fontId="2" fillId="0" borderId="0" xfId="0" applyFont="1" applyFill="1" applyAlignment="1" applyProtection="1">
      <alignment/>
      <protection/>
    </xf>
    <xf numFmtId="10" fontId="2" fillId="0" borderId="0" xfId="0" applyNumberFormat="1" applyFont="1" applyFill="1" applyAlignment="1" applyProtection="1">
      <alignment/>
      <protection/>
    </xf>
    <xf numFmtId="0" fontId="2" fillId="0" borderId="0" xfId="0" applyFont="1" applyFill="1" applyAlignment="1" applyProtection="1">
      <alignment horizontal="left" wrapText="1"/>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protection/>
    </xf>
    <xf numFmtId="0" fontId="0" fillId="24" borderId="0" xfId="0" applyFill="1" applyAlignment="1" applyProtection="1">
      <alignment/>
      <protection/>
    </xf>
    <xf numFmtId="0" fontId="2" fillId="24" borderId="0" xfId="0" applyFont="1" applyFill="1" applyAlignment="1" applyProtection="1">
      <alignment/>
      <protection/>
    </xf>
    <xf numFmtId="0" fontId="2" fillId="0" borderId="10"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0" xfId="0" applyFont="1" applyBorder="1" applyAlignment="1" applyProtection="1">
      <alignment vertical="center"/>
      <protection locked="0"/>
    </xf>
    <xf numFmtId="0" fontId="2" fillId="0" borderId="0" xfId="0" applyFont="1" applyAlignment="1" applyProtection="1">
      <alignment horizontal="left" indent="2"/>
      <protection locked="0"/>
    </xf>
    <xf numFmtId="168" fontId="6" fillId="0" borderId="0" xfId="42" applyNumberFormat="1" applyFont="1" applyBorder="1" applyAlignment="1" applyProtection="1">
      <alignment horizontal="center" wrapText="1"/>
      <protection locked="0"/>
    </xf>
    <xf numFmtId="0" fontId="8" fillId="0" borderId="12" xfId="0" applyFont="1" applyBorder="1" applyAlignment="1" applyProtection="1">
      <alignment/>
      <protection locked="0"/>
    </xf>
    <xf numFmtId="0" fontId="2" fillId="0" borderId="13" xfId="0" applyFont="1" applyBorder="1" applyAlignment="1" applyProtection="1">
      <alignment/>
      <protection locked="0"/>
    </xf>
    <xf numFmtId="43" fontId="2" fillId="0" borderId="0" xfId="0" applyNumberFormat="1" applyFont="1" applyAlignment="1" applyProtection="1">
      <alignment/>
      <protection locked="0"/>
    </xf>
    <xf numFmtId="0" fontId="2" fillId="0" borderId="0" xfId="0" applyFont="1" applyBorder="1" applyAlignment="1" applyProtection="1">
      <alignment/>
      <protection locked="0"/>
    </xf>
    <xf numFmtId="0" fontId="15" fillId="0" borderId="0" xfId="0" applyFont="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49" fontId="2" fillId="0" borderId="0" xfId="0" applyNumberFormat="1" applyFont="1" applyAlignment="1" applyProtection="1">
      <alignment horizontal="left" indent="2"/>
      <protection locked="0"/>
    </xf>
    <xf numFmtId="43" fontId="2" fillId="0" borderId="10" xfId="0" applyNumberFormat="1" applyFont="1" applyBorder="1" applyAlignment="1" applyProtection="1">
      <alignment/>
      <protection locked="0"/>
    </xf>
    <xf numFmtId="43" fontId="2" fillId="0" borderId="0" xfId="0" applyNumberFormat="1" applyFont="1" applyBorder="1" applyAlignment="1" applyProtection="1">
      <alignment/>
      <protection locked="0"/>
    </xf>
    <xf numFmtId="168" fontId="2"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2" fillId="0" borderId="11" xfId="0" applyFont="1" applyBorder="1" applyAlignment="1" applyProtection="1">
      <alignment/>
      <protection locked="0"/>
    </xf>
    <xf numFmtId="43" fontId="2" fillId="0" borderId="11" xfId="0" applyNumberFormat="1" applyFont="1" applyBorder="1" applyAlignment="1" applyProtection="1">
      <alignment/>
      <protection locked="0"/>
    </xf>
    <xf numFmtId="43" fontId="2" fillId="0" borderId="0" xfId="0" applyNumberFormat="1" applyFont="1" applyAlignment="1" applyProtection="1">
      <alignment/>
      <protection/>
    </xf>
    <xf numFmtId="0" fontId="2" fillId="0" borderId="0" xfId="0" applyFont="1" applyAlignment="1" applyProtection="1">
      <alignment/>
      <protection/>
    </xf>
    <xf numFmtId="43" fontId="2" fillId="0" borderId="10" xfId="0" applyNumberFormat="1" applyFont="1" applyBorder="1" applyAlignment="1" applyProtection="1">
      <alignment/>
      <protection/>
    </xf>
    <xf numFmtId="43" fontId="2" fillId="0" borderId="0" xfId="0" applyNumberFormat="1" applyFont="1" applyBorder="1" applyAlignment="1" applyProtection="1">
      <alignment/>
      <protection/>
    </xf>
    <xf numFmtId="0" fontId="2" fillId="0" borderId="0" xfId="0" applyFont="1" applyBorder="1" applyAlignment="1" applyProtection="1">
      <alignment/>
      <protection/>
    </xf>
    <xf numFmtId="0" fontId="2" fillId="0" borderId="11" xfId="0" applyFont="1" applyBorder="1" applyAlignment="1" applyProtection="1">
      <alignment/>
      <protection/>
    </xf>
    <xf numFmtId="43" fontId="2" fillId="0" borderId="11" xfId="0" applyNumberFormat="1" applyFont="1" applyBorder="1" applyAlignment="1" applyProtection="1">
      <alignment/>
      <protection/>
    </xf>
    <xf numFmtId="0" fontId="4" fillId="0" borderId="11" xfId="0" applyFont="1" applyBorder="1" applyAlignment="1" applyProtection="1">
      <alignment horizontal="left"/>
      <protection locked="0"/>
    </xf>
    <xf numFmtId="0" fontId="0" fillId="0" borderId="0" xfId="0" applyAlignment="1" applyProtection="1">
      <alignment/>
      <protection locked="0"/>
    </xf>
    <xf numFmtId="0" fontId="2" fillId="0" borderId="16" xfId="0" applyFont="1" applyBorder="1" applyAlignment="1" applyProtection="1">
      <alignment/>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Alignment="1" applyProtection="1" quotePrefix="1">
      <alignment horizontal="left" indent="2"/>
      <protection locked="0"/>
    </xf>
    <xf numFmtId="0" fontId="2" fillId="0" borderId="0" xfId="0" applyFont="1" applyAlignment="1" applyProtection="1">
      <alignment horizontal="left" indent="8"/>
      <protection locked="0"/>
    </xf>
    <xf numFmtId="0" fontId="2" fillId="0" borderId="0" xfId="0" applyFont="1" applyBorder="1" applyAlignment="1" applyProtection="1">
      <alignment horizontal="left" indent="2"/>
      <protection locked="0"/>
    </xf>
    <xf numFmtId="0" fontId="17" fillId="0" borderId="0" xfId="0" applyFont="1" applyAlignment="1" applyProtection="1">
      <alignment/>
      <protection locked="0"/>
    </xf>
    <xf numFmtId="43" fontId="2" fillId="0" borderId="0" xfId="0" applyNumberFormat="1" applyFont="1" applyBorder="1" applyAlignment="1" applyProtection="1">
      <alignment horizontal="left" indent="4"/>
      <protection/>
    </xf>
    <xf numFmtId="0" fontId="2" fillId="0" borderId="10" xfId="0" applyFont="1" applyBorder="1" applyAlignment="1" applyProtection="1">
      <alignment/>
      <protection/>
    </xf>
    <xf numFmtId="2" fontId="2" fillId="0" borderId="0" xfId="0" applyNumberFormat="1" applyFont="1" applyBorder="1" applyAlignment="1" applyProtection="1">
      <alignment/>
      <protection/>
    </xf>
    <xf numFmtId="0" fontId="18" fillId="0" borderId="0" xfId="0" applyFont="1" applyBorder="1" applyAlignment="1" applyProtection="1">
      <alignment/>
      <protection/>
    </xf>
    <xf numFmtId="0" fontId="2" fillId="0" borderId="0" xfId="0" applyFont="1" applyBorder="1" applyAlignment="1" applyProtection="1">
      <alignment horizontal="left" indent="4"/>
      <protection/>
    </xf>
    <xf numFmtId="43" fontId="2" fillId="0" borderId="0" xfId="0" applyNumberFormat="1" applyFont="1" applyAlignment="1" applyProtection="1">
      <alignment horizontal="left" indent="4"/>
      <protection/>
    </xf>
    <xf numFmtId="43" fontId="17" fillId="0" borderId="0" xfId="0" applyNumberFormat="1" applyFont="1" applyAlignment="1" applyProtection="1">
      <alignment horizontal="left" indent="4"/>
      <protection/>
    </xf>
    <xf numFmtId="0" fontId="2" fillId="0" borderId="14" xfId="0" applyFont="1" applyBorder="1" applyAlignment="1" applyProtection="1">
      <alignment/>
      <protection/>
    </xf>
    <xf numFmtId="43" fontId="17" fillId="0" borderId="0" xfId="0" applyNumberFormat="1" applyFont="1" applyAlignment="1" applyProtection="1">
      <alignment horizontal="left" indent="5"/>
      <protection/>
    </xf>
    <xf numFmtId="0" fontId="2" fillId="0" borderId="0" xfId="0" applyFont="1" applyAlignment="1" applyProtection="1">
      <alignment horizontal="left" indent="4"/>
      <protection/>
    </xf>
    <xf numFmtId="43" fontId="17" fillId="0" borderId="0" xfId="0" applyNumberFormat="1" applyFont="1" applyAlignment="1" applyProtection="1">
      <alignment/>
      <protection/>
    </xf>
    <xf numFmtId="2" fontId="2" fillId="0" borderId="0" xfId="0" applyNumberFormat="1" applyFont="1" applyBorder="1" applyAlignment="1" applyProtection="1">
      <alignment horizontal="left" indent="5"/>
      <protection/>
    </xf>
    <xf numFmtId="0" fontId="19" fillId="0" borderId="0" xfId="0" applyFont="1" applyBorder="1" applyAlignment="1" applyProtection="1">
      <alignment/>
      <protection/>
    </xf>
    <xf numFmtId="0" fontId="2" fillId="0" borderId="15" xfId="0" applyFont="1" applyBorder="1" applyAlignment="1" applyProtection="1">
      <alignment/>
      <protection/>
    </xf>
    <xf numFmtId="43" fontId="17" fillId="0" borderId="0" xfId="0" applyNumberFormat="1" applyFont="1" applyBorder="1" applyAlignment="1" applyProtection="1">
      <alignment horizontal="left" indent="4"/>
      <protection/>
    </xf>
    <xf numFmtId="43" fontId="17" fillId="0" borderId="0" xfId="0" applyNumberFormat="1" applyFont="1" applyBorder="1" applyAlignment="1" applyProtection="1">
      <alignment/>
      <protection/>
    </xf>
    <xf numFmtId="0" fontId="2" fillId="0" borderId="11" xfId="0" applyFont="1" applyBorder="1" applyAlignment="1" applyProtection="1">
      <alignment horizontal="left" indent="4"/>
      <protection/>
    </xf>
    <xf numFmtId="0" fontId="2" fillId="0" borderId="11" xfId="0" applyFont="1" applyBorder="1" applyAlignment="1" applyProtection="1">
      <alignment horizontal="left" indent="5"/>
      <protection/>
    </xf>
    <xf numFmtId="43" fontId="6" fillId="0" borderId="10" xfId="0" applyNumberFormat="1" applyFont="1" applyBorder="1" applyAlignment="1" applyProtection="1">
      <alignment/>
      <protection locked="0"/>
    </xf>
    <xf numFmtId="0" fontId="6" fillId="0" borderId="0" xfId="0" applyFont="1" applyBorder="1" applyAlignment="1" applyProtection="1">
      <alignment horizontal="center"/>
      <protection locked="0"/>
    </xf>
    <xf numFmtId="0" fontId="6" fillId="0" borderId="11" xfId="0" applyFont="1" applyBorder="1" applyAlignment="1" applyProtection="1">
      <alignment horizontal="center"/>
      <protection locked="0"/>
    </xf>
    <xf numFmtId="9" fontId="6" fillId="0" borderId="0" xfId="0" applyNumberFormat="1" applyFont="1" applyBorder="1" applyAlignment="1" applyProtection="1">
      <alignment horizontal="left"/>
      <protection locked="0"/>
    </xf>
    <xf numFmtId="9" fontId="6" fillId="0" borderId="0" xfId="0" applyNumberFormat="1" applyFont="1" applyBorder="1" applyAlignment="1" applyProtection="1">
      <alignment/>
      <protection locked="0"/>
    </xf>
    <xf numFmtId="0" fontId="4" fillId="0" borderId="0" xfId="0" applyFont="1" applyBorder="1" applyAlignment="1" applyProtection="1">
      <alignment wrapText="1"/>
      <protection locked="0"/>
    </xf>
    <xf numFmtId="0" fontId="4" fillId="0" borderId="10" xfId="0" applyFont="1" applyBorder="1" applyAlignment="1" applyProtection="1">
      <alignment horizontal="left" wrapText="1"/>
      <protection locked="0"/>
    </xf>
    <xf numFmtId="0" fontId="4" fillId="0" borderId="10" xfId="0" applyFont="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2" fillId="0" borderId="0" xfId="0" applyFont="1" applyBorder="1" applyAlignment="1" applyProtection="1">
      <alignment horizontal="left" wrapText="1"/>
      <protection locked="0"/>
    </xf>
    <xf numFmtId="168" fontId="2" fillId="0" borderId="0" xfId="42" applyNumberFormat="1" applyFont="1" applyBorder="1" applyAlignment="1" applyProtection="1">
      <alignment/>
      <protection locked="0"/>
    </xf>
    <xf numFmtId="0" fontId="2" fillId="0" borderId="0" xfId="0" applyFont="1" applyFill="1" applyBorder="1" applyAlignment="1" applyProtection="1">
      <alignment horizontal="left" wrapText="1"/>
      <protection locked="0"/>
    </xf>
    <xf numFmtId="0" fontId="4" fillId="0" borderId="0" xfId="0" applyFont="1" applyBorder="1" applyAlignment="1" applyProtection="1">
      <alignment horizontal="left" wrapText="1"/>
      <protection locked="0"/>
    </xf>
    <xf numFmtId="168" fontId="11" fillId="0" borderId="0" xfId="42" applyNumberFormat="1" applyFont="1" applyBorder="1" applyAlignment="1" applyProtection="1">
      <alignment horizontal="center" wrapText="1"/>
      <protection locked="0"/>
    </xf>
    <xf numFmtId="0" fontId="16" fillId="0" borderId="0" xfId="0" applyFont="1" applyBorder="1" applyAlignment="1" applyProtection="1">
      <alignment horizontal="left" wrapText="1"/>
      <protection locked="0"/>
    </xf>
    <xf numFmtId="168" fontId="6" fillId="0" borderId="11" xfId="42" applyNumberFormat="1" applyFont="1" applyBorder="1" applyAlignment="1" applyProtection="1">
      <alignment horizontal="center" wrapText="1"/>
      <protection locked="0"/>
    </xf>
    <xf numFmtId="168" fontId="4" fillId="0" borderId="0" xfId="42" applyNumberFormat="1" applyFont="1" applyBorder="1" applyAlignment="1" applyProtection="1">
      <alignment horizontal="center" wrapText="1"/>
      <protection locked="0"/>
    </xf>
    <xf numFmtId="168" fontId="2" fillId="0" borderId="0" xfId="42" applyNumberFormat="1" applyFont="1" applyAlignment="1" applyProtection="1">
      <alignment/>
      <protection locked="0"/>
    </xf>
    <xf numFmtId="168" fontId="2" fillId="0" borderId="0" xfId="42" applyNumberFormat="1" applyFont="1" applyBorder="1" applyAlignment="1" applyProtection="1">
      <alignment horizontal="center" wrapText="1"/>
      <protection/>
    </xf>
    <xf numFmtId="168" fontId="4" fillId="0" borderId="17" xfId="42" applyNumberFormat="1" applyFont="1" applyBorder="1" applyAlignment="1" applyProtection="1">
      <alignment horizontal="center" wrapText="1"/>
      <protection/>
    </xf>
    <xf numFmtId="168" fontId="2" fillId="0" borderId="11" xfId="42" applyNumberFormat="1" applyFont="1" applyBorder="1" applyAlignment="1" applyProtection="1">
      <alignment horizontal="center" wrapText="1"/>
      <protection/>
    </xf>
    <xf numFmtId="0" fontId="4" fillId="0" borderId="10" xfId="0" applyFont="1" applyFill="1" applyBorder="1" applyAlignment="1" applyProtection="1">
      <alignment horizontal="center" wrapText="1"/>
      <protection locked="0"/>
    </xf>
    <xf numFmtId="0" fontId="8" fillId="0" borderId="0" xfId="0" applyFont="1" applyBorder="1" applyAlignment="1" applyProtection="1">
      <alignment horizontal="left" wrapText="1"/>
      <protection locked="0"/>
    </xf>
    <xf numFmtId="3" fontId="6" fillId="0" borderId="0" xfId="0" applyNumberFormat="1" applyFont="1" applyBorder="1" applyAlignment="1" applyProtection="1">
      <alignment horizontal="center" wrapText="1"/>
      <protection locked="0"/>
    </xf>
    <xf numFmtId="43" fontId="2" fillId="0" borderId="0" xfId="0" applyNumberFormat="1" applyFont="1" applyBorder="1" applyAlignment="1" applyProtection="1">
      <alignment horizontal="center" wrapText="1"/>
      <protection locked="0"/>
    </xf>
    <xf numFmtId="4" fontId="2" fillId="0" borderId="0" xfId="0" applyNumberFormat="1" applyFont="1" applyAlignment="1" applyProtection="1">
      <alignment horizontal="right" vertical="center" indent="4"/>
      <protection locked="0"/>
    </xf>
    <xf numFmtId="43" fontId="6" fillId="0" borderId="0" xfId="42" applyNumberFormat="1" applyFont="1" applyAlignment="1" applyProtection="1">
      <alignment/>
      <protection locked="0"/>
    </xf>
    <xf numFmtId="168" fontId="6" fillId="0" borderId="0" xfId="42" applyNumberFormat="1" applyFont="1" applyAlignment="1" applyProtection="1">
      <alignment horizontal="center"/>
      <protection locked="0"/>
    </xf>
    <xf numFmtId="0" fontId="6" fillId="0" borderId="0" xfId="42" applyNumberFormat="1" applyFont="1" applyAlignment="1" applyProtection="1">
      <alignment horizontal="center"/>
      <protection locked="0"/>
    </xf>
    <xf numFmtId="0" fontId="8" fillId="0" borderId="0" xfId="0" applyFont="1" applyFill="1" applyBorder="1" applyAlignment="1" applyProtection="1">
      <alignment horizontal="left" wrapText="1"/>
      <protection locked="0"/>
    </xf>
    <xf numFmtId="3" fontId="6" fillId="0" borderId="0" xfId="0" applyNumberFormat="1" applyFont="1" applyBorder="1" applyAlignment="1" applyProtection="1">
      <alignment horizontal="right" wrapText="1"/>
      <protection locked="0"/>
    </xf>
    <xf numFmtId="0" fontId="2" fillId="0" borderId="0" xfId="0" applyFont="1" applyBorder="1" applyAlignment="1" applyProtection="1">
      <alignment/>
      <protection locked="0"/>
    </xf>
    <xf numFmtId="4" fontId="2" fillId="0" borderId="0" xfId="0" applyNumberFormat="1" applyFont="1" applyBorder="1" applyAlignment="1" applyProtection="1">
      <alignment horizontal="right" vertical="center" indent="4"/>
      <protection locked="0"/>
    </xf>
    <xf numFmtId="43" fontId="6" fillId="0" borderId="0" xfId="42" applyNumberFormat="1" applyFont="1" applyBorder="1" applyAlignment="1" applyProtection="1">
      <alignment/>
      <protection locked="0"/>
    </xf>
    <xf numFmtId="168" fontId="6" fillId="0" borderId="0" xfId="42" applyNumberFormat="1" applyFont="1" applyBorder="1" applyAlignment="1" applyProtection="1">
      <alignment/>
      <protection locked="0"/>
    </xf>
    <xf numFmtId="168" fontId="2" fillId="0" borderId="0" xfId="0" applyNumberFormat="1" applyFont="1" applyBorder="1" applyAlignment="1" applyProtection="1">
      <alignment/>
      <protection locked="0"/>
    </xf>
    <xf numFmtId="9" fontId="6" fillId="0" borderId="0" xfId="58" applyFont="1" applyBorder="1" applyAlignment="1" applyProtection="1">
      <alignment horizontal="center" wrapText="1"/>
      <protection locked="0"/>
    </xf>
    <xf numFmtId="0" fontId="2" fillId="0" borderId="11" xfId="0" applyFont="1" applyFill="1" applyBorder="1" applyAlignment="1" applyProtection="1">
      <alignment/>
      <protection locked="0"/>
    </xf>
    <xf numFmtId="3" fontId="6" fillId="0" borderId="11" xfId="0" applyNumberFormat="1" applyFont="1" applyBorder="1" applyAlignment="1" applyProtection="1">
      <alignment horizontal="center" wrapText="1"/>
      <protection locked="0"/>
    </xf>
    <xf numFmtId="3" fontId="6" fillId="0" borderId="11" xfId="0" applyNumberFormat="1" applyFont="1" applyBorder="1" applyAlignment="1" applyProtection="1">
      <alignment horizontal="right" wrapText="1"/>
      <protection locked="0"/>
    </xf>
    <xf numFmtId="43" fontId="2" fillId="0" borderId="11" xfId="0" applyNumberFormat="1" applyFont="1" applyBorder="1" applyAlignment="1" applyProtection="1">
      <alignment horizontal="center" wrapText="1"/>
      <protection locked="0"/>
    </xf>
    <xf numFmtId="4" fontId="2" fillId="0" borderId="11" xfId="0" applyNumberFormat="1" applyFont="1" applyBorder="1" applyAlignment="1" applyProtection="1">
      <alignment horizontal="right" vertical="center" indent="4"/>
      <protection locked="0"/>
    </xf>
    <xf numFmtId="43" fontId="6" fillId="0" borderId="11" xfId="42" applyNumberFormat="1" applyFont="1" applyBorder="1" applyAlignment="1" applyProtection="1">
      <alignment/>
      <protection locked="0"/>
    </xf>
    <xf numFmtId="168" fontId="2" fillId="0" borderId="11" xfId="42" applyNumberFormat="1" applyFont="1" applyBorder="1" applyAlignment="1" applyProtection="1">
      <alignment/>
      <protection locked="0"/>
    </xf>
    <xf numFmtId="168" fontId="6" fillId="0" borderId="11" xfId="42" applyNumberFormat="1" applyFont="1" applyBorder="1" applyAlignment="1" applyProtection="1">
      <alignment/>
      <protection locked="0"/>
    </xf>
    <xf numFmtId="168" fontId="2" fillId="0" borderId="11" xfId="0" applyNumberFormat="1" applyFont="1" applyBorder="1" applyAlignment="1" applyProtection="1">
      <alignment/>
      <protection locked="0"/>
    </xf>
    <xf numFmtId="0" fontId="2" fillId="0" borderId="0" xfId="0" applyFont="1" applyFill="1" applyBorder="1" applyAlignment="1" applyProtection="1">
      <alignment/>
      <protection locked="0"/>
    </xf>
    <xf numFmtId="0" fontId="2" fillId="0" borderId="11" xfId="0" applyFont="1" applyFill="1" applyBorder="1" applyAlignment="1" applyProtection="1">
      <alignment/>
      <protection locked="0"/>
    </xf>
    <xf numFmtId="0" fontId="4" fillId="0" borderId="0" xfId="0" applyFont="1" applyBorder="1" applyAlignment="1" applyProtection="1">
      <alignment horizontal="center" wrapText="1"/>
      <protection locked="0"/>
    </xf>
    <xf numFmtId="4" fontId="6" fillId="0" borderId="0" xfId="0" applyNumberFormat="1" applyFont="1" applyBorder="1" applyAlignment="1" applyProtection="1">
      <alignment horizontal="center" wrapText="1"/>
      <protection locked="0"/>
    </xf>
    <xf numFmtId="3" fontId="2" fillId="0" borderId="0" xfId="0" applyNumberFormat="1" applyFont="1" applyBorder="1" applyAlignment="1" applyProtection="1">
      <alignment horizontal="center" wrapText="1"/>
      <protection/>
    </xf>
    <xf numFmtId="43" fontId="2" fillId="0" borderId="0" xfId="0" applyNumberFormat="1" applyFont="1" applyBorder="1" applyAlignment="1" applyProtection="1">
      <alignment horizontal="center" wrapText="1"/>
      <protection/>
    </xf>
    <xf numFmtId="4" fontId="2" fillId="0" borderId="0" xfId="0" applyNumberFormat="1" applyFont="1" applyAlignment="1" applyProtection="1">
      <alignment horizontal="right" indent="4"/>
      <protection/>
    </xf>
    <xf numFmtId="4" fontId="2" fillId="0" borderId="0" xfId="0" applyNumberFormat="1" applyFont="1" applyAlignment="1" applyProtection="1">
      <alignment horizontal="right" vertical="center" indent="4"/>
      <protection/>
    </xf>
    <xf numFmtId="4" fontId="2" fillId="0" borderId="0" xfId="0" applyNumberFormat="1" applyFont="1" applyBorder="1" applyAlignment="1" applyProtection="1">
      <alignment horizontal="right" indent="4"/>
      <protection/>
    </xf>
    <xf numFmtId="4" fontId="2" fillId="0" borderId="0" xfId="0" applyNumberFormat="1" applyFont="1" applyBorder="1" applyAlignment="1" applyProtection="1">
      <alignment horizontal="right" vertical="center" indent="4"/>
      <protection/>
    </xf>
    <xf numFmtId="43" fontId="8" fillId="0" borderId="0" xfId="42" applyNumberFormat="1" applyFont="1" applyAlignment="1" applyProtection="1">
      <alignment/>
      <protection/>
    </xf>
    <xf numFmtId="168" fontId="2" fillId="0" borderId="0" xfId="42" applyNumberFormat="1" applyFont="1" applyAlignment="1" applyProtection="1">
      <alignment/>
      <protection/>
    </xf>
    <xf numFmtId="168" fontId="6" fillId="0" borderId="0" xfId="42" applyNumberFormat="1" applyFont="1" applyAlignment="1" applyProtection="1">
      <alignment/>
      <protection/>
    </xf>
    <xf numFmtId="168" fontId="2" fillId="0" borderId="0" xfId="0" applyNumberFormat="1" applyFont="1" applyAlignment="1" applyProtection="1">
      <alignment/>
      <protection/>
    </xf>
    <xf numFmtId="168" fontId="2" fillId="0" borderId="0" xfId="42" applyNumberFormat="1" applyFont="1" applyBorder="1" applyAlignment="1" applyProtection="1">
      <alignment/>
      <protection/>
    </xf>
    <xf numFmtId="168" fontId="6" fillId="0" borderId="0" xfId="42" applyNumberFormat="1" applyFont="1" applyBorder="1" applyAlignment="1" applyProtection="1">
      <alignment/>
      <protection/>
    </xf>
    <xf numFmtId="168" fontId="2" fillId="0" borderId="0" xfId="0" applyNumberFormat="1" applyFont="1" applyBorder="1" applyAlignment="1" applyProtection="1">
      <alignment/>
      <protection/>
    </xf>
    <xf numFmtId="43" fontId="2" fillId="0" borderId="0" xfId="0" applyNumberFormat="1" applyFont="1" applyFill="1" applyBorder="1" applyAlignment="1" applyProtection="1">
      <alignment/>
      <protection/>
    </xf>
    <xf numFmtId="0" fontId="4" fillId="0" borderId="18" xfId="0" applyFont="1" applyBorder="1" applyAlignment="1" applyProtection="1">
      <alignment horizontal="left" wrapText="1"/>
      <protection locked="0"/>
    </xf>
    <xf numFmtId="0" fontId="4" fillId="0" borderId="18" xfId="0" applyFont="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43" fontId="4" fillId="0" borderId="10" xfId="42" applyFont="1" applyFill="1" applyBorder="1" applyAlignment="1" applyProtection="1">
      <alignment horizontal="center" wrapText="1"/>
      <protection locked="0"/>
    </xf>
    <xf numFmtId="0" fontId="20" fillId="0" borderId="0" xfId="0" applyFont="1" applyAlignment="1" applyProtection="1">
      <alignment horizontal="left" wrapText="1"/>
      <protection locked="0"/>
    </xf>
    <xf numFmtId="43" fontId="6" fillId="0" borderId="0" xfId="0" applyNumberFormat="1"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2" fontId="2" fillId="0" borderId="0" xfId="0" applyNumberFormat="1" applyFont="1" applyAlignment="1" applyProtection="1">
      <alignment/>
      <protection locked="0"/>
    </xf>
    <xf numFmtId="2" fontId="8" fillId="0" borderId="0" xfId="0" applyNumberFormat="1" applyFont="1" applyAlignment="1" applyProtection="1">
      <alignment horizontal="center"/>
      <protection locked="0"/>
    </xf>
    <xf numFmtId="43" fontId="2" fillId="0" borderId="0" xfId="42" applyFont="1" applyAlignment="1" applyProtection="1">
      <alignment horizontal="right"/>
      <protection locked="0"/>
    </xf>
    <xf numFmtId="43" fontId="4" fillId="0" borderId="0" xfId="0" applyNumberFormat="1" applyFont="1" applyAlignment="1" applyProtection="1">
      <alignment/>
      <protection locked="0"/>
    </xf>
    <xf numFmtId="43" fontId="10" fillId="0" borderId="0" xfId="0" applyNumberFormat="1" applyFont="1" applyAlignment="1" applyProtection="1">
      <alignment horizontal="center"/>
      <protection locked="0"/>
    </xf>
    <xf numFmtId="43" fontId="6" fillId="0" borderId="0" xfId="0" applyNumberFormat="1" applyFont="1" applyAlignment="1" applyProtection="1">
      <alignment horizontal="right"/>
      <protection locked="0"/>
    </xf>
    <xf numFmtId="43" fontId="2" fillId="0" borderId="0" xfId="0" applyNumberFormat="1" applyFont="1" applyAlignment="1" applyProtection="1">
      <alignment/>
      <protection locked="0"/>
    </xf>
    <xf numFmtId="43" fontId="8" fillId="0" borderId="0" xfId="0" applyNumberFormat="1" applyFont="1" applyAlignment="1" applyProtection="1">
      <alignment horizontal="center"/>
      <protection locked="0"/>
    </xf>
    <xf numFmtId="4" fontId="2" fillId="0" borderId="0" xfId="0" applyNumberFormat="1" applyFont="1" applyAlignment="1" applyProtection="1">
      <alignment/>
      <protection locked="0"/>
    </xf>
    <xf numFmtId="43" fontId="10" fillId="0" borderId="0" xfId="0" applyNumberFormat="1" applyFont="1" applyAlignment="1" applyProtection="1">
      <alignment horizontal="right"/>
      <protection locked="0"/>
    </xf>
    <xf numFmtId="43" fontId="2" fillId="0" borderId="0" xfId="0" applyNumberFormat="1" applyFont="1" applyAlignment="1" applyProtection="1">
      <alignment horizontal="right"/>
      <protection locked="0"/>
    </xf>
    <xf numFmtId="4" fontId="2" fillId="0" borderId="0" xfId="0" applyNumberFormat="1" applyFont="1" applyFill="1" applyAlignment="1" applyProtection="1">
      <alignment/>
      <protection locked="0"/>
    </xf>
    <xf numFmtId="43" fontId="6" fillId="0" borderId="0" xfId="0" applyNumberFormat="1" applyFont="1" applyFill="1" applyAlignment="1" applyProtection="1">
      <alignment/>
      <protection locked="0"/>
    </xf>
    <xf numFmtId="43" fontId="2" fillId="0" borderId="0" xfId="0" applyNumberFormat="1" applyFont="1" applyFill="1" applyAlignment="1" applyProtection="1">
      <alignment/>
      <protection locked="0"/>
    </xf>
    <xf numFmtId="0" fontId="10" fillId="0" borderId="0" xfId="0" applyFont="1" applyAlignment="1" applyProtection="1">
      <alignment/>
      <protection locked="0"/>
    </xf>
    <xf numFmtId="0" fontId="4" fillId="0" borderId="0" xfId="0" applyFont="1" applyFill="1" applyAlignment="1" applyProtection="1">
      <alignment/>
      <protection locked="0"/>
    </xf>
    <xf numFmtId="43" fontId="8" fillId="0" borderId="0" xfId="0" applyNumberFormat="1" applyFont="1" applyFill="1" applyAlignment="1" applyProtection="1">
      <alignment horizontal="center"/>
      <protection locked="0"/>
    </xf>
    <xf numFmtId="0" fontId="2" fillId="0" borderId="0" xfId="0" applyFont="1" applyFill="1" applyAlignment="1" applyProtection="1">
      <alignment horizontal="left" indent="2"/>
      <protection locked="0"/>
    </xf>
    <xf numFmtId="43" fontId="2" fillId="0" borderId="0" xfId="0" applyNumberFormat="1" applyFont="1" applyFill="1" applyAlignment="1" applyProtection="1">
      <alignment horizontal="right"/>
      <protection locked="0"/>
    </xf>
    <xf numFmtId="43" fontId="6" fillId="0" borderId="11" xfId="0" applyNumberFormat="1" applyFont="1" applyBorder="1" applyAlignment="1" applyProtection="1">
      <alignment/>
      <protection locked="0"/>
    </xf>
    <xf numFmtId="43" fontId="8" fillId="0" borderId="11" xfId="0" applyNumberFormat="1" applyFont="1" applyBorder="1" applyAlignment="1" applyProtection="1">
      <alignment horizontal="center"/>
      <protection locked="0"/>
    </xf>
    <xf numFmtId="43" fontId="8" fillId="0" borderId="0" xfId="0" applyNumberFormat="1" applyFont="1" applyBorder="1" applyAlignment="1" applyProtection="1">
      <alignment horizontal="center"/>
      <protection locked="0"/>
    </xf>
    <xf numFmtId="43" fontId="2" fillId="0" borderId="0" xfId="42" applyNumberFormat="1" applyFont="1" applyBorder="1" applyAlignment="1" applyProtection="1">
      <alignment/>
      <protection locked="0"/>
    </xf>
    <xf numFmtId="0" fontId="8" fillId="0" borderId="0" xfId="0" applyFont="1" applyAlignment="1" applyProtection="1">
      <alignment horizontal="center"/>
      <protection locked="0"/>
    </xf>
    <xf numFmtId="43" fontId="2" fillId="0" borderId="0" xfId="42" applyFont="1" applyAlignment="1" applyProtection="1">
      <alignment/>
      <protection locked="0"/>
    </xf>
    <xf numFmtId="4" fontId="2" fillId="0" borderId="0" xfId="0" applyNumberFormat="1" applyFont="1" applyBorder="1" applyAlignment="1" applyProtection="1">
      <alignment horizontal="right" indent="1"/>
      <protection locked="0"/>
    </xf>
    <xf numFmtId="4" fontId="6" fillId="0" borderId="0" xfId="0" applyNumberFormat="1" applyFont="1" applyBorder="1" applyAlignment="1" applyProtection="1">
      <alignment horizontal="right" indent="1"/>
      <protection locked="0"/>
    </xf>
    <xf numFmtId="43" fontId="4" fillId="0" borderId="0" xfId="0" applyNumberFormat="1" applyFont="1" applyAlignment="1" applyProtection="1">
      <alignment/>
      <protection/>
    </xf>
    <xf numFmtId="43" fontId="2" fillId="0" borderId="0" xfId="0" applyNumberFormat="1" applyFont="1" applyAlignment="1" applyProtection="1">
      <alignment/>
      <protection/>
    </xf>
    <xf numFmtId="43" fontId="2" fillId="0" borderId="0" xfId="0" applyNumberFormat="1" applyFont="1" applyAlignment="1" applyProtection="1">
      <alignment horizontal="right"/>
      <protection/>
    </xf>
    <xf numFmtId="43" fontId="8" fillId="0" borderId="0" xfId="0" applyNumberFormat="1" applyFont="1" applyAlignment="1" applyProtection="1">
      <alignment horizontal="right"/>
      <protection/>
    </xf>
    <xf numFmtId="43" fontId="10" fillId="0" borderId="0" xfId="0" applyNumberFormat="1" applyFont="1" applyAlignment="1" applyProtection="1">
      <alignment horizontal="right"/>
      <protection/>
    </xf>
    <xf numFmtId="43" fontId="2" fillId="0" borderId="0" xfId="0" applyNumberFormat="1" applyFont="1" applyFill="1" applyAlignment="1" applyProtection="1">
      <alignment/>
      <protection/>
    </xf>
    <xf numFmtId="43" fontId="2" fillId="0" borderId="11" xfId="0" applyNumberFormat="1" applyFont="1" applyBorder="1" applyAlignment="1" applyProtection="1">
      <alignment/>
      <protection/>
    </xf>
    <xf numFmtId="43" fontId="6" fillId="0" borderId="0" xfId="0" applyNumberFormat="1" applyFont="1" applyAlignment="1" applyProtection="1">
      <alignment horizontal="right"/>
      <protection/>
    </xf>
    <xf numFmtId="43" fontId="4" fillId="0" borderId="0" xfId="42" applyNumberFormat="1" applyFont="1" applyAlignment="1" applyProtection="1">
      <alignment horizontal="right"/>
      <protection/>
    </xf>
    <xf numFmtId="43" fontId="11" fillId="0" borderId="0" xfId="0" applyNumberFormat="1" applyFont="1" applyAlignment="1" applyProtection="1">
      <alignment/>
      <protection/>
    </xf>
    <xf numFmtId="43" fontId="2" fillId="0" borderId="0" xfId="42" applyNumberFormat="1" applyFont="1" applyAlignment="1" applyProtection="1">
      <alignment horizontal="right"/>
      <protection/>
    </xf>
    <xf numFmtId="43" fontId="11" fillId="0" borderId="0" xfId="0" applyNumberFormat="1" applyFont="1" applyAlignment="1" applyProtection="1">
      <alignment horizontal="right"/>
      <protection/>
    </xf>
    <xf numFmtId="43" fontId="10" fillId="0" borderId="0" xfId="42" applyNumberFormat="1" applyFont="1" applyAlignment="1" applyProtection="1">
      <alignment horizontal="right"/>
      <protection/>
    </xf>
    <xf numFmtId="43" fontId="8" fillId="0" borderId="0" xfId="0" applyNumberFormat="1" applyFont="1" applyFill="1" applyAlignment="1" applyProtection="1">
      <alignment horizontal="right"/>
      <protection/>
    </xf>
    <xf numFmtId="43" fontId="4" fillId="0" borderId="0" xfId="42" applyNumberFormat="1" applyFont="1" applyFill="1" applyAlignment="1" applyProtection="1">
      <alignment horizontal="right"/>
      <protection/>
    </xf>
    <xf numFmtId="43" fontId="2" fillId="0" borderId="0" xfId="42" applyNumberFormat="1" applyFont="1" applyFill="1" applyAlignment="1" applyProtection="1">
      <alignment horizontal="right"/>
      <protection/>
    </xf>
    <xf numFmtId="43" fontId="8" fillId="0" borderId="0" xfId="0" applyNumberFormat="1" applyFont="1" applyBorder="1" applyAlignment="1" applyProtection="1">
      <alignment horizontal="right"/>
      <protection/>
    </xf>
    <xf numFmtId="43" fontId="2" fillId="0" borderId="0" xfId="42" applyNumberFormat="1" applyFont="1" applyAlignment="1" applyProtection="1">
      <alignment/>
      <protection/>
    </xf>
    <xf numFmtId="43" fontId="8" fillId="0" borderId="11" xfId="0" applyNumberFormat="1" applyFont="1" applyBorder="1" applyAlignment="1" applyProtection="1">
      <alignment horizontal="right"/>
      <protection/>
    </xf>
    <xf numFmtId="43" fontId="4" fillId="0" borderId="11" xfId="42" applyNumberFormat="1" applyFont="1" applyBorder="1" applyAlignment="1" applyProtection="1">
      <alignment horizontal="right"/>
      <protection/>
    </xf>
    <xf numFmtId="43" fontId="8" fillId="0" borderId="0" xfId="0" applyNumberFormat="1" applyFont="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43" fontId="2" fillId="0" borderId="0" xfId="0" applyNumberFormat="1" applyFont="1" applyFill="1" applyAlignment="1" applyProtection="1">
      <alignment/>
      <protection/>
    </xf>
    <xf numFmtId="43" fontId="4" fillId="0" borderId="0" xfId="42" applyFont="1" applyAlignment="1" applyProtection="1">
      <alignment horizontal="right"/>
      <protection/>
    </xf>
    <xf numFmtId="43" fontId="2" fillId="0" borderId="0" xfId="42" applyFont="1" applyAlignment="1" applyProtection="1">
      <alignment horizontal="right"/>
      <protection/>
    </xf>
    <xf numFmtId="43" fontId="2" fillId="0" borderId="0" xfId="42" applyFont="1" applyFill="1" applyAlignment="1" applyProtection="1">
      <alignment horizontal="right"/>
      <protection/>
    </xf>
    <xf numFmtId="43" fontId="4" fillId="0" borderId="0" xfId="42" applyFont="1" applyFill="1" applyAlignment="1" applyProtection="1">
      <alignment horizontal="right"/>
      <protection/>
    </xf>
    <xf numFmtId="43" fontId="2" fillId="0" borderId="0" xfId="42" applyFont="1" applyFill="1" applyAlignment="1" applyProtection="1">
      <alignment/>
      <protection/>
    </xf>
    <xf numFmtId="43" fontId="2" fillId="0" borderId="0" xfId="42" applyFont="1" applyAlignment="1" applyProtection="1">
      <alignment/>
      <protection/>
    </xf>
    <xf numFmtId="43" fontId="4" fillId="0" borderId="11" xfId="42" applyFont="1" applyBorder="1" applyAlignment="1" applyProtection="1">
      <alignment horizontal="right"/>
      <protection/>
    </xf>
    <xf numFmtId="43" fontId="6" fillId="0" borderId="0" xfId="0" applyNumberFormat="1" applyFont="1" applyAlignment="1" applyProtection="1">
      <alignment/>
      <protection/>
    </xf>
    <xf numFmtId="4" fontId="2" fillId="0" borderId="0" xfId="0" applyNumberFormat="1" applyFont="1" applyBorder="1" applyAlignment="1" applyProtection="1">
      <alignment horizontal="right" indent="1"/>
      <protection/>
    </xf>
    <xf numFmtId="4" fontId="2" fillId="0" borderId="10" xfId="0" applyNumberFormat="1" applyFont="1" applyBorder="1" applyAlignment="1" applyProtection="1">
      <alignment horizontal="right" indent="1"/>
      <protection/>
    </xf>
    <xf numFmtId="0" fontId="2" fillId="24" borderId="0" xfId="0" applyFont="1" applyFill="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protection/>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vertical="top" wrapText="1"/>
      <protection/>
    </xf>
    <xf numFmtId="0" fontId="2" fillId="0" borderId="0" xfId="0" applyFont="1" applyFill="1" applyAlignment="1" applyProtection="1">
      <alignment horizontal="left" wrapText="1"/>
      <protection/>
    </xf>
    <xf numFmtId="0" fontId="1" fillId="0" borderId="0" xfId="0" applyFont="1" applyBorder="1" applyAlignment="1" applyProtection="1">
      <alignment horizontal="left" wrapText="1"/>
      <protection locked="0"/>
    </xf>
    <xf numFmtId="0" fontId="2" fillId="0" borderId="0" xfId="0" applyFont="1" applyBorder="1" applyAlignment="1" applyProtection="1" quotePrefix="1">
      <alignment horizontal="right" vertical="top" wrapText="1"/>
      <protection locked="0"/>
    </xf>
    <xf numFmtId="0" fontId="2" fillId="0" borderId="0" xfId="0" applyFont="1" applyFill="1" applyAlignment="1" applyProtection="1">
      <alignment horizontal="left" vertical="top" wrapText="1"/>
      <protection/>
    </xf>
    <xf numFmtId="0" fontId="4" fillId="0" borderId="11" xfId="0" applyFont="1" applyBorder="1" applyAlignment="1" applyProtection="1">
      <alignment horizontal="left"/>
      <protection locked="0"/>
    </xf>
    <xf numFmtId="0" fontId="2" fillId="0" borderId="16" xfId="0" applyFont="1" applyBorder="1" applyAlignment="1" applyProtection="1">
      <alignment horizontal="center"/>
      <protection locked="0"/>
    </xf>
    <xf numFmtId="0" fontId="4" fillId="0" borderId="10"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2" fillId="0" borderId="17" xfId="0" applyFont="1" applyBorder="1" applyAlignment="1" applyProtection="1">
      <alignment horizontal="center" wrapText="1"/>
      <protection locked="0"/>
    </xf>
    <xf numFmtId="4" fontId="8" fillId="0" borderId="0" xfId="0" applyNumberFormat="1" applyFont="1" applyBorder="1" applyAlignment="1" applyProtection="1">
      <alignment horizontal="center" wrapText="1"/>
      <protection locked="0"/>
    </xf>
    <xf numFmtId="0" fontId="9" fillId="0" borderId="10" xfId="0" applyFont="1" applyBorder="1" applyAlignment="1" applyProtection="1">
      <alignment horizontal="left"/>
      <protection locked="0"/>
    </xf>
    <xf numFmtId="0" fontId="1" fillId="0" borderId="11" xfId="0" applyFont="1" applyBorder="1" applyAlignment="1" applyProtection="1">
      <alignment horizontal="left" wrapText="1"/>
      <protection locked="0"/>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38"/>
  <sheetViews>
    <sheetView showGridLines="0" tabSelected="1" zoomScalePageLayoutView="0" workbookViewId="0" topLeftCell="A1">
      <selection activeCell="A1" sqref="A1"/>
    </sheetView>
  </sheetViews>
  <sheetFormatPr defaultColWidth="9.140625" defaultRowHeight="15"/>
  <cols>
    <col min="1" max="1" width="5.7109375" style="21" customWidth="1"/>
    <col min="2" max="2" width="9.140625" style="21" customWidth="1"/>
    <col min="3" max="10" width="9.8515625" style="21" customWidth="1"/>
    <col min="11" max="11" width="11.8515625" style="21" bestFit="1" customWidth="1"/>
    <col min="12" max="16384" width="9.140625" style="21" customWidth="1"/>
  </cols>
  <sheetData>
    <row r="2" spans="2:12" ht="18.75" customHeight="1">
      <c r="B2" s="239" t="s">
        <v>303</v>
      </c>
      <c r="C2" s="239"/>
      <c r="D2" s="239"/>
      <c r="E2" s="239"/>
      <c r="F2" s="239"/>
      <c r="G2" s="239"/>
      <c r="H2" s="239"/>
      <c r="I2" s="239"/>
      <c r="J2" s="239"/>
      <c r="K2" s="239"/>
      <c r="L2" s="239"/>
    </row>
    <row r="3" ht="24.75" customHeight="1">
      <c r="B3" s="22" t="s">
        <v>304</v>
      </c>
    </row>
    <row r="4" ht="15">
      <c r="B4" s="23"/>
    </row>
    <row r="6" ht="12.75">
      <c r="B6" s="24" t="s">
        <v>228</v>
      </c>
    </row>
    <row r="7" spans="2:12" ht="15" customHeight="1">
      <c r="B7" s="240" t="s">
        <v>281</v>
      </c>
      <c r="C7" s="241" t="s">
        <v>1</v>
      </c>
      <c r="D7" s="241"/>
      <c r="E7" s="241"/>
      <c r="F7" s="241"/>
      <c r="G7" s="241"/>
      <c r="H7" s="241"/>
      <c r="I7" s="241"/>
      <c r="J7" s="241"/>
      <c r="K7" s="241"/>
      <c r="L7" s="25"/>
    </row>
    <row r="8" spans="2:12" ht="12.75">
      <c r="B8" s="240"/>
      <c r="C8" s="241"/>
      <c r="D8" s="241"/>
      <c r="E8" s="241"/>
      <c r="F8" s="241"/>
      <c r="G8" s="241"/>
      <c r="H8" s="241"/>
      <c r="I8" s="241"/>
      <c r="J8" s="241"/>
      <c r="K8" s="241"/>
      <c r="L8" s="26"/>
    </row>
    <row r="9" spans="2:12" ht="12.75">
      <c r="B9" s="240"/>
      <c r="C9" s="241"/>
      <c r="D9" s="241"/>
      <c r="E9" s="241"/>
      <c r="F9" s="241"/>
      <c r="G9" s="241"/>
      <c r="H9" s="241"/>
      <c r="I9" s="241"/>
      <c r="J9" s="241"/>
      <c r="K9" s="241"/>
      <c r="L9" s="26"/>
    </row>
    <row r="10" spans="2:12" ht="12.75">
      <c r="B10" s="27"/>
      <c r="C10" s="241"/>
      <c r="D10" s="241"/>
      <c r="E10" s="241"/>
      <c r="F10" s="241"/>
      <c r="G10" s="241"/>
      <c r="H10" s="241"/>
      <c r="I10" s="241"/>
      <c r="J10" s="241"/>
      <c r="K10" s="241"/>
      <c r="L10" s="26"/>
    </row>
    <row r="11" spans="2:12" ht="15" customHeight="1">
      <c r="B11" s="28"/>
      <c r="C11" s="34"/>
      <c r="D11" s="35"/>
      <c r="E11" s="36"/>
      <c r="F11" s="35"/>
      <c r="G11" s="35"/>
      <c r="H11" s="35"/>
      <c r="I11" s="35"/>
      <c r="J11" s="35"/>
      <c r="K11" s="35"/>
      <c r="L11" s="26"/>
    </row>
    <row r="12" spans="2:12" ht="15" customHeight="1">
      <c r="B12" s="29" t="s">
        <v>282</v>
      </c>
      <c r="C12" s="238" t="s">
        <v>305</v>
      </c>
      <c r="D12" s="238"/>
      <c r="E12" s="238"/>
      <c r="F12" s="238"/>
      <c r="G12" s="238"/>
      <c r="H12" s="238"/>
      <c r="I12" s="238"/>
      <c r="J12" s="238"/>
      <c r="K12" s="238"/>
      <c r="L12" s="26"/>
    </row>
    <row r="13" spans="2:12" ht="15" customHeight="1">
      <c r="B13" s="29"/>
      <c r="C13" s="37"/>
      <c r="D13" s="37"/>
      <c r="E13" s="37"/>
      <c r="F13" s="37"/>
      <c r="G13" s="37"/>
      <c r="H13" s="37"/>
      <c r="I13" s="37"/>
      <c r="J13" s="37"/>
      <c r="K13" s="37"/>
      <c r="L13" s="26"/>
    </row>
    <row r="14" spans="2:12" ht="15" customHeight="1">
      <c r="B14" s="30" t="s">
        <v>283</v>
      </c>
      <c r="C14" s="38" t="s">
        <v>306</v>
      </c>
      <c r="D14" s="38"/>
      <c r="E14" s="38"/>
      <c r="F14" s="38"/>
      <c r="G14" s="38"/>
      <c r="H14" s="38"/>
      <c r="I14" s="38"/>
      <c r="J14" s="38"/>
      <c r="K14" s="38"/>
      <c r="L14" s="26"/>
    </row>
    <row r="15" spans="3:12" ht="15" customHeight="1">
      <c r="C15" s="38"/>
      <c r="D15" s="38"/>
      <c r="E15" s="38"/>
      <c r="F15" s="38"/>
      <c r="G15" s="38"/>
      <c r="H15" s="38"/>
      <c r="I15" s="38"/>
      <c r="J15" s="38"/>
      <c r="K15" s="38"/>
      <c r="L15" s="26"/>
    </row>
    <row r="16" spans="2:12" ht="15" customHeight="1">
      <c r="B16" s="29" t="s">
        <v>284</v>
      </c>
      <c r="C16" s="39" t="s">
        <v>294</v>
      </c>
      <c r="D16" s="39"/>
      <c r="E16" s="40"/>
      <c r="F16" s="40"/>
      <c r="G16" s="40"/>
      <c r="H16" s="40"/>
      <c r="I16" s="40"/>
      <c r="J16" s="40"/>
      <c r="K16" s="40"/>
      <c r="L16" s="26"/>
    </row>
    <row r="17" spans="2:12" ht="15" customHeight="1">
      <c r="B17" s="28"/>
      <c r="C17" s="39"/>
      <c r="D17" s="39"/>
      <c r="E17" s="40"/>
      <c r="F17" s="40"/>
      <c r="G17" s="40"/>
      <c r="H17" s="40"/>
      <c r="I17" s="40"/>
      <c r="J17" s="40"/>
      <c r="K17" s="39"/>
      <c r="L17" s="26"/>
    </row>
    <row r="18" spans="2:12" ht="15" customHeight="1">
      <c r="B18" s="29" t="s">
        <v>229</v>
      </c>
      <c r="C18" s="41" t="s">
        <v>307</v>
      </c>
      <c r="D18" s="41"/>
      <c r="E18" s="41"/>
      <c r="F18" s="41"/>
      <c r="G18" s="41"/>
      <c r="H18" s="41"/>
      <c r="I18" s="41"/>
      <c r="J18" s="41"/>
      <c r="K18" s="41"/>
      <c r="L18" s="26"/>
    </row>
    <row r="19" spans="2:12" ht="15" customHeight="1">
      <c r="B19" s="28"/>
      <c r="C19" s="39"/>
      <c r="D19" s="39"/>
      <c r="E19" s="40"/>
      <c r="F19" s="40"/>
      <c r="G19" s="40"/>
      <c r="H19" s="40"/>
      <c r="I19" s="40"/>
      <c r="J19" s="40"/>
      <c r="K19" s="39"/>
      <c r="L19" s="26"/>
    </row>
    <row r="20" spans="2:21" ht="15" customHeight="1">
      <c r="B20" s="32" t="s">
        <v>230</v>
      </c>
      <c r="C20" s="237" t="s">
        <v>193</v>
      </c>
      <c r="D20" s="237"/>
      <c r="E20" s="237"/>
      <c r="F20" s="237"/>
      <c r="G20" s="237"/>
      <c r="H20" s="237"/>
      <c r="I20" s="237"/>
      <c r="J20" s="237"/>
      <c r="K20" s="237"/>
      <c r="L20" s="26"/>
      <c r="N20" s="26"/>
      <c r="O20" s="26"/>
      <c r="P20" s="26"/>
      <c r="Q20" s="26"/>
      <c r="R20" s="26"/>
      <c r="S20" s="26"/>
      <c r="T20" s="26"/>
      <c r="U20" s="26"/>
    </row>
    <row r="21" spans="2:21" ht="15" customHeight="1">
      <c r="B21" s="28"/>
      <c r="C21" s="237"/>
      <c r="D21" s="237"/>
      <c r="E21" s="237"/>
      <c r="F21" s="237"/>
      <c r="G21" s="237"/>
      <c r="H21" s="237"/>
      <c r="I21" s="237"/>
      <c r="J21" s="237"/>
      <c r="K21" s="237"/>
      <c r="L21" s="26"/>
      <c r="N21" s="26"/>
      <c r="O21" s="26"/>
      <c r="P21" s="26"/>
      <c r="Q21" s="26"/>
      <c r="R21" s="26"/>
      <c r="S21" s="26"/>
      <c r="T21" s="26"/>
      <c r="U21" s="26"/>
    </row>
    <row r="22" spans="2:21" ht="15" customHeight="1">
      <c r="B22" s="28"/>
      <c r="C22" s="237"/>
      <c r="D22" s="237"/>
      <c r="E22" s="237"/>
      <c r="F22" s="237"/>
      <c r="G22" s="237"/>
      <c r="H22" s="237"/>
      <c r="I22" s="237"/>
      <c r="J22" s="237"/>
      <c r="K22" s="237"/>
      <c r="L22" s="26"/>
      <c r="N22" s="26"/>
      <c r="O22" s="26"/>
      <c r="P22" s="26"/>
      <c r="Q22" s="26"/>
      <c r="R22" s="26"/>
      <c r="S22" s="26"/>
      <c r="T22" s="26"/>
      <c r="U22" s="26"/>
    </row>
    <row r="23" spans="2:21" ht="15" customHeight="1">
      <c r="B23" s="28"/>
      <c r="C23" s="39"/>
      <c r="D23" s="39"/>
      <c r="E23" s="40"/>
      <c r="F23" s="40"/>
      <c r="G23" s="40"/>
      <c r="H23" s="40"/>
      <c r="I23" s="40"/>
      <c r="J23" s="40"/>
      <c r="K23" s="39"/>
      <c r="L23" s="26"/>
      <c r="N23" s="26"/>
      <c r="O23" s="26"/>
      <c r="P23" s="26"/>
      <c r="Q23" s="26"/>
      <c r="R23" s="26"/>
      <c r="S23" s="26"/>
      <c r="T23" s="26"/>
      <c r="U23" s="26"/>
    </row>
    <row r="24" spans="2:12" ht="15" customHeight="1">
      <c r="B24" s="29" t="s">
        <v>231</v>
      </c>
      <c r="C24" s="39" t="s">
        <v>194</v>
      </c>
      <c r="D24" s="39"/>
      <c r="E24" s="40"/>
      <c r="F24" s="40"/>
      <c r="G24" s="40"/>
      <c r="H24" s="40"/>
      <c r="I24" s="40"/>
      <c r="J24" s="40"/>
      <c r="K24" s="39"/>
      <c r="L24" s="26"/>
    </row>
    <row r="25" spans="2:12" ht="12.75">
      <c r="B25" s="28"/>
      <c r="C25" s="39"/>
      <c r="D25" s="39"/>
      <c r="E25" s="40"/>
      <c r="F25" s="40"/>
      <c r="G25" s="40"/>
      <c r="H25" s="40"/>
      <c r="I25" s="40"/>
      <c r="J25" s="40"/>
      <c r="K25" s="39"/>
      <c r="L25" s="26"/>
    </row>
    <row r="26" spans="2:12" ht="12.75">
      <c r="B26" s="29" t="s">
        <v>232</v>
      </c>
      <c r="C26" s="236" t="s">
        <v>195</v>
      </c>
      <c r="D26" s="236"/>
      <c r="E26" s="236"/>
      <c r="F26" s="236"/>
      <c r="G26" s="236"/>
      <c r="H26" s="236"/>
      <c r="I26" s="236"/>
      <c r="J26" s="236"/>
      <c r="K26" s="236"/>
      <c r="L26" s="26"/>
    </row>
    <row r="27" spans="2:12" ht="12.75">
      <c r="B27" s="28"/>
      <c r="C27" s="236"/>
      <c r="D27" s="236"/>
      <c r="E27" s="236"/>
      <c r="F27" s="236"/>
      <c r="G27" s="236"/>
      <c r="H27" s="236"/>
      <c r="I27" s="236"/>
      <c r="J27" s="236"/>
      <c r="K27" s="236"/>
      <c r="L27" s="26"/>
    </row>
    <row r="28" spans="2:12" ht="12.75">
      <c r="B28" s="28"/>
      <c r="C28" s="39"/>
      <c r="D28" s="39"/>
      <c r="E28" s="40"/>
      <c r="F28" s="40"/>
      <c r="G28" s="40"/>
      <c r="H28" s="40"/>
      <c r="I28" s="40"/>
      <c r="J28" s="40"/>
      <c r="K28" s="39"/>
      <c r="L28" s="26"/>
    </row>
    <row r="29" spans="2:12" ht="13.5" customHeight="1">
      <c r="B29" s="33" t="s">
        <v>233</v>
      </c>
      <c r="C29" s="237" t="s">
        <v>0</v>
      </c>
      <c r="D29" s="237"/>
      <c r="E29" s="237"/>
      <c r="F29" s="237"/>
      <c r="G29" s="237"/>
      <c r="H29" s="237"/>
      <c r="I29" s="237"/>
      <c r="J29" s="237"/>
      <c r="K29" s="237"/>
      <c r="L29" s="26"/>
    </row>
    <row r="30" spans="2:11" ht="12.75">
      <c r="B30" s="30"/>
      <c r="C30" s="237"/>
      <c r="D30" s="237"/>
      <c r="E30" s="237"/>
      <c r="F30" s="237"/>
      <c r="G30" s="237"/>
      <c r="H30" s="237"/>
      <c r="I30" s="237"/>
      <c r="J30" s="237"/>
      <c r="K30" s="237"/>
    </row>
    <row r="31" spans="2:11" ht="12.75">
      <c r="B31" s="29"/>
      <c r="C31" s="237"/>
      <c r="D31" s="237"/>
      <c r="E31" s="237"/>
      <c r="F31" s="237"/>
      <c r="G31" s="237"/>
      <c r="H31" s="237"/>
      <c r="I31" s="237"/>
      <c r="J31" s="237"/>
      <c r="K31" s="237"/>
    </row>
    <row r="32" spans="2:11" ht="13.5">
      <c r="B32" s="28"/>
      <c r="C32" s="42"/>
      <c r="D32" s="42"/>
      <c r="E32" s="42"/>
      <c r="F32" s="42"/>
      <c r="G32" s="42"/>
      <c r="H32" s="42"/>
      <c r="I32" s="42"/>
      <c r="J32" s="42"/>
      <c r="K32" s="42"/>
    </row>
    <row r="33" spans="3:11" ht="12.75">
      <c r="C33" s="43" t="s">
        <v>296</v>
      </c>
      <c r="D33" s="43"/>
      <c r="E33" s="43"/>
      <c r="F33" s="43"/>
      <c r="G33" s="43"/>
      <c r="H33" s="43"/>
      <c r="I33" s="43"/>
      <c r="J33" s="43"/>
      <c r="K33" s="43"/>
    </row>
    <row r="34" spans="3:11" ht="12.75">
      <c r="C34" s="43"/>
      <c r="D34" s="43"/>
      <c r="E34" s="43"/>
      <c r="F34" s="43"/>
      <c r="G34" s="43"/>
      <c r="H34" s="43"/>
      <c r="I34" s="43"/>
      <c r="J34" s="43"/>
      <c r="K34" s="43"/>
    </row>
    <row r="35" spans="2:11" ht="12.75">
      <c r="B35" s="30" t="s">
        <v>234</v>
      </c>
      <c r="C35" s="233" t="s">
        <v>196</v>
      </c>
      <c r="D35" s="234"/>
      <c r="E35" s="234"/>
      <c r="F35" s="234"/>
      <c r="G35" s="234"/>
      <c r="H35" s="234"/>
      <c r="I35" s="234"/>
      <c r="J35" s="234"/>
      <c r="K35" s="234"/>
    </row>
    <row r="36" spans="3:11" ht="12.75">
      <c r="C36" s="234"/>
      <c r="D36" s="234"/>
      <c r="E36" s="234"/>
      <c r="F36" s="234"/>
      <c r="G36" s="234"/>
      <c r="H36" s="234"/>
      <c r="I36" s="234"/>
      <c r="J36" s="234"/>
      <c r="K36" s="234"/>
    </row>
    <row r="37" spans="3:11" ht="12.75">
      <c r="C37" s="234"/>
      <c r="D37" s="234"/>
      <c r="E37" s="234"/>
      <c r="F37" s="234"/>
      <c r="G37" s="234"/>
      <c r="H37" s="234"/>
      <c r="I37" s="234"/>
      <c r="J37" s="234"/>
      <c r="K37" s="234"/>
    </row>
    <row r="38" spans="3:11" ht="12.75">
      <c r="C38" s="235"/>
      <c r="D38" s="235"/>
      <c r="E38" s="235"/>
      <c r="F38" s="235"/>
      <c r="G38" s="235"/>
      <c r="H38" s="235"/>
      <c r="I38" s="235"/>
      <c r="J38" s="235"/>
      <c r="K38" s="235"/>
    </row>
  </sheetData>
  <sheetProtection sheet="1" objects="1" scenarios="1"/>
  <mergeCells count="8">
    <mergeCell ref="C35:K38"/>
    <mergeCell ref="C26:K27"/>
    <mergeCell ref="C29:K31"/>
    <mergeCell ref="C12:K12"/>
    <mergeCell ref="B2:L2"/>
    <mergeCell ref="B7:B9"/>
    <mergeCell ref="C7:K10"/>
    <mergeCell ref="C20:K22"/>
  </mergeCells>
  <printOptions/>
  <pageMargins left="0.7" right="0.7" top="0.75" bottom="0.75" header="0.3" footer="0.3"/>
  <pageSetup horizontalDpi="600" verticalDpi="600" orientation="portrait"/>
  <headerFooter alignWithMargins="0">
    <oddHeader>&amp;CDRAFT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I65"/>
  <sheetViews>
    <sheetView showGridLines="0" zoomScalePageLayoutView="0" workbookViewId="0" topLeftCell="A1">
      <selection activeCell="A1" sqref="A1"/>
    </sheetView>
  </sheetViews>
  <sheetFormatPr defaultColWidth="9.140625" defaultRowHeight="15"/>
  <cols>
    <col min="1" max="1" width="5.7109375" style="1" customWidth="1"/>
    <col min="2" max="2" width="36.8515625" style="1" customWidth="1"/>
    <col min="3" max="3" width="15.421875" style="1" customWidth="1"/>
    <col min="4" max="4" width="9.00390625" style="1" customWidth="1"/>
    <col min="5" max="5" width="6.421875" style="1" customWidth="1"/>
    <col min="6" max="6" width="7.7109375" style="2" customWidth="1"/>
    <col min="7" max="7" width="6.421875" style="2" customWidth="1"/>
    <col min="8" max="8" width="7.7109375" style="2" customWidth="1"/>
    <col min="9" max="9" width="6.421875" style="2" customWidth="1"/>
    <col min="10" max="10" width="9.140625" style="2" customWidth="1"/>
    <col min="11" max="16384" width="9.140625" style="1" customWidth="1"/>
  </cols>
  <sheetData>
    <row r="1" ht="15.75">
      <c r="B1" s="18" t="s">
        <v>32</v>
      </c>
    </row>
    <row r="2" spans="2:5" ht="13.5" thickBot="1">
      <c r="B2" s="12"/>
      <c r="C2" s="12"/>
      <c r="D2" s="12"/>
      <c r="E2" s="12"/>
    </row>
    <row r="3" spans="2:5" ht="12.75">
      <c r="B3" s="3" t="s">
        <v>247</v>
      </c>
      <c r="C3" s="3" t="s">
        <v>257</v>
      </c>
      <c r="D3" s="3" t="s">
        <v>33</v>
      </c>
      <c r="E3" s="3"/>
    </row>
    <row r="4" spans="2:5" ht="12.75">
      <c r="B4" s="2"/>
      <c r="C4" s="2"/>
      <c r="D4" s="2"/>
      <c r="E4" s="2"/>
    </row>
    <row r="5" spans="2:5" ht="12.75">
      <c r="B5" s="9" t="s">
        <v>248</v>
      </c>
      <c r="D5" s="250"/>
      <c r="E5" s="250"/>
    </row>
    <row r="6" spans="2:9" ht="12.75">
      <c r="B6" s="1" t="s">
        <v>34</v>
      </c>
      <c r="C6" s="1" t="s">
        <v>35</v>
      </c>
      <c r="D6" s="8">
        <v>40.25</v>
      </c>
      <c r="E6" s="1" t="s">
        <v>36</v>
      </c>
      <c r="F6" s="20"/>
      <c r="G6" s="11"/>
      <c r="H6" s="20"/>
      <c r="I6" s="11"/>
    </row>
    <row r="7" spans="2:9" ht="12.75">
      <c r="B7" s="1" t="s">
        <v>39</v>
      </c>
      <c r="C7" s="1" t="s">
        <v>37</v>
      </c>
      <c r="D7" s="8">
        <v>40.25</v>
      </c>
      <c r="E7" s="1" t="s">
        <v>38</v>
      </c>
      <c r="F7" s="20"/>
      <c r="G7" s="11"/>
      <c r="H7" s="20"/>
      <c r="I7" s="11"/>
    </row>
    <row r="8" spans="2:9" ht="12.75">
      <c r="B8" s="1" t="s">
        <v>103</v>
      </c>
      <c r="C8" s="1" t="s">
        <v>37</v>
      </c>
      <c r="D8" s="8">
        <v>110.39999999999999</v>
      </c>
      <c r="E8" s="1" t="s">
        <v>36</v>
      </c>
      <c r="F8" s="20"/>
      <c r="H8" s="20"/>
      <c r="I8" s="11"/>
    </row>
    <row r="9" spans="2:8" ht="12.75">
      <c r="B9" s="1" t="s">
        <v>112</v>
      </c>
      <c r="C9" s="1" t="s">
        <v>37</v>
      </c>
      <c r="D9" s="8">
        <v>12.65</v>
      </c>
      <c r="E9" s="1" t="s">
        <v>38</v>
      </c>
      <c r="F9" s="20"/>
      <c r="H9" s="20"/>
    </row>
    <row r="10" spans="2:9" ht="12.75">
      <c r="B10" s="1" t="s">
        <v>256</v>
      </c>
      <c r="C10" s="1" t="s">
        <v>37</v>
      </c>
      <c r="D10" s="8">
        <v>40.25</v>
      </c>
      <c r="E10" s="1" t="s">
        <v>38</v>
      </c>
      <c r="F10" s="20"/>
      <c r="G10" s="11"/>
      <c r="H10" s="20"/>
      <c r="I10" s="11"/>
    </row>
    <row r="11" spans="2:9" ht="12.75">
      <c r="B11" s="1" t="s">
        <v>7</v>
      </c>
      <c r="C11" s="1" t="s">
        <v>37</v>
      </c>
      <c r="D11" s="8">
        <v>42.55</v>
      </c>
      <c r="E11" s="1" t="s">
        <v>38</v>
      </c>
      <c r="F11" s="20"/>
      <c r="H11" s="20"/>
      <c r="I11" s="11"/>
    </row>
    <row r="12" spans="2:9" ht="12.75">
      <c r="B12" s="1" t="s">
        <v>4</v>
      </c>
      <c r="C12" s="1" t="s">
        <v>35</v>
      </c>
      <c r="D12" s="8">
        <v>75.89999999999999</v>
      </c>
      <c r="E12" s="1" t="s">
        <v>38</v>
      </c>
      <c r="F12" s="20"/>
      <c r="G12" s="11"/>
      <c r="H12" s="20"/>
      <c r="I12" s="11"/>
    </row>
    <row r="13" spans="2:9" ht="12.75">
      <c r="B13" s="1" t="s">
        <v>94</v>
      </c>
      <c r="C13" s="1" t="s">
        <v>41</v>
      </c>
      <c r="D13" s="8">
        <v>114.99999999999999</v>
      </c>
      <c r="E13" s="1" t="s">
        <v>38</v>
      </c>
      <c r="F13" s="20"/>
      <c r="G13" s="11"/>
      <c r="H13" s="20"/>
      <c r="I13" s="11"/>
    </row>
    <row r="14" spans="2:9" ht="12.75">
      <c r="B14" s="1" t="s">
        <v>42</v>
      </c>
      <c r="C14" s="1" t="s">
        <v>43</v>
      </c>
      <c r="D14" s="8">
        <v>0.575</v>
      </c>
      <c r="E14" s="1" t="s">
        <v>36</v>
      </c>
      <c r="F14" s="20"/>
      <c r="G14" s="11"/>
      <c r="H14" s="20"/>
      <c r="I14" s="11"/>
    </row>
    <row r="15" spans="2:9" ht="12.75">
      <c r="B15" s="1" t="s">
        <v>44</v>
      </c>
      <c r="C15" s="1" t="s">
        <v>45</v>
      </c>
      <c r="D15" s="8">
        <v>12.649999999999999</v>
      </c>
      <c r="E15" s="1" t="s">
        <v>38</v>
      </c>
      <c r="F15" s="20"/>
      <c r="H15" s="20"/>
      <c r="I15" s="11"/>
    </row>
    <row r="16" spans="2:9" ht="12.75">
      <c r="B16" s="1" t="s">
        <v>17</v>
      </c>
      <c r="C16" s="1" t="s">
        <v>35</v>
      </c>
      <c r="D16" s="8">
        <v>10.0625</v>
      </c>
      <c r="E16" s="1" t="s">
        <v>36</v>
      </c>
      <c r="F16" s="20"/>
      <c r="G16" s="11"/>
      <c r="H16" s="20"/>
      <c r="I16" s="11"/>
    </row>
    <row r="17" spans="2:9" ht="12.75">
      <c r="B17" s="1" t="s">
        <v>116</v>
      </c>
      <c r="C17" s="1" t="s">
        <v>46</v>
      </c>
      <c r="D17" s="8">
        <v>424.34999999999997</v>
      </c>
      <c r="E17" s="1" t="s">
        <v>38</v>
      </c>
      <c r="F17" s="20"/>
      <c r="H17" s="20"/>
      <c r="I17" s="11"/>
    </row>
    <row r="18" spans="2:9" ht="12.75">
      <c r="B18" s="1" t="s">
        <v>47</v>
      </c>
      <c r="C18" s="1" t="s">
        <v>48</v>
      </c>
      <c r="D18" s="8">
        <v>4</v>
      </c>
      <c r="E18" s="1" t="s">
        <v>36</v>
      </c>
      <c r="F18" s="20"/>
      <c r="G18" s="11"/>
      <c r="H18" s="20"/>
      <c r="I18" s="11"/>
    </row>
    <row r="19" spans="2:9" ht="12.75">
      <c r="B19" s="1" t="s">
        <v>249</v>
      </c>
      <c r="C19" s="1" t="s">
        <v>43</v>
      </c>
      <c r="D19" s="8">
        <v>0.48299999999999993</v>
      </c>
      <c r="E19" s="1" t="s">
        <v>36</v>
      </c>
      <c r="F19" s="20"/>
      <c r="G19" s="11"/>
      <c r="H19" s="20"/>
      <c r="I19" s="11"/>
    </row>
    <row r="20" spans="2:9" ht="12.75">
      <c r="B20" s="1" t="s">
        <v>251</v>
      </c>
      <c r="C20" s="1" t="s">
        <v>43</v>
      </c>
      <c r="D20" s="8">
        <v>0.5175</v>
      </c>
      <c r="E20" s="1" t="s">
        <v>36</v>
      </c>
      <c r="F20" s="20"/>
      <c r="G20" s="11"/>
      <c r="H20" s="20"/>
      <c r="I20" s="11"/>
    </row>
    <row r="21" spans="2:9" ht="12.75">
      <c r="B21" s="1" t="s">
        <v>104</v>
      </c>
      <c r="C21" s="1" t="s">
        <v>37</v>
      </c>
      <c r="D21" s="8">
        <v>42.55</v>
      </c>
      <c r="E21" s="1" t="s">
        <v>38</v>
      </c>
      <c r="F21" s="20"/>
      <c r="H21" s="20"/>
      <c r="I21" s="11"/>
    </row>
    <row r="22" spans="2:9" ht="12.75">
      <c r="B22" s="1" t="s">
        <v>16</v>
      </c>
      <c r="C22" s="1" t="s">
        <v>46</v>
      </c>
      <c r="D22" s="8">
        <v>2.3</v>
      </c>
      <c r="E22" s="1" t="s">
        <v>40</v>
      </c>
      <c r="F22" s="20"/>
      <c r="G22" s="11"/>
      <c r="H22" s="20"/>
      <c r="I22" s="11"/>
    </row>
    <row r="23" spans="2:9" ht="12.75">
      <c r="B23" s="1" t="s">
        <v>111</v>
      </c>
      <c r="C23" s="1" t="s">
        <v>37</v>
      </c>
      <c r="D23" s="8">
        <v>126.5</v>
      </c>
      <c r="E23" s="1" t="s">
        <v>38</v>
      </c>
      <c r="F23" s="20"/>
      <c r="H23" s="20"/>
      <c r="I23" s="11"/>
    </row>
    <row r="24" spans="2:9" ht="12.75">
      <c r="B24" s="1" t="s">
        <v>102</v>
      </c>
      <c r="C24" s="1" t="s">
        <v>37</v>
      </c>
      <c r="D24" s="8">
        <v>41.4</v>
      </c>
      <c r="E24" s="1" t="s">
        <v>36</v>
      </c>
      <c r="F24" s="20"/>
      <c r="G24" s="11"/>
      <c r="H24" s="20"/>
      <c r="I24" s="11"/>
    </row>
    <row r="25" spans="2:9" ht="12.75">
      <c r="B25" s="1" t="s">
        <v>13</v>
      </c>
      <c r="C25" s="1" t="s">
        <v>37</v>
      </c>
      <c r="D25" s="8">
        <v>667</v>
      </c>
      <c r="E25" s="1" t="s">
        <v>38</v>
      </c>
      <c r="F25" s="20"/>
      <c r="H25" s="20"/>
      <c r="I25" s="11"/>
    </row>
    <row r="26" spans="2:9" ht="12.75">
      <c r="B26" s="1" t="s">
        <v>250</v>
      </c>
      <c r="C26" s="1" t="s">
        <v>43</v>
      </c>
      <c r="D26" s="8">
        <v>0.161</v>
      </c>
      <c r="E26" s="1" t="s">
        <v>36</v>
      </c>
      <c r="F26" s="20"/>
      <c r="G26" s="11"/>
      <c r="H26" s="20"/>
      <c r="I26" s="11"/>
    </row>
    <row r="27" spans="2:9" ht="12.75">
      <c r="B27" s="1" t="s">
        <v>258</v>
      </c>
      <c r="C27" s="1" t="s">
        <v>46</v>
      </c>
      <c r="D27" s="8">
        <v>0.8049999999999999</v>
      </c>
      <c r="E27" s="1" t="s">
        <v>36</v>
      </c>
      <c r="F27" s="20"/>
      <c r="G27" s="11"/>
      <c r="H27" s="20"/>
      <c r="I27" s="11"/>
    </row>
    <row r="28" spans="2:9" ht="12.75">
      <c r="B28" s="1" t="s">
        <v>49</v>
      </c>
      <c r="C28" s="1" t="s">
        <v>46</v>
      </c>
      <c r="D28" s="8">
        <v>22.367499999999996</v>
      </c>
      <c r="E28" s="1" t="s">
        <v>38</v>
      </c>
      <c r="F28" s="20"/>
      <c r="G28" s="11"/>
      <c r="H28" s="20"/>
      <c r="I28" s="11"/>
    </row>
    <row r="29" spans="2:9" ht="12.75">
      <c r="B29" s="1" t="s">
        <v>50</v>
      </c>
      <c r="D29" s="8">
        <v>19.45</v>
      </c>
      <c r="E29" s="1" t="s">
        <v>38</v>
      </c>
      <c r="F29" s="20"/>
      <c r="H29" s="20"/>
      <c r="I29" s="11"/>
    </row>
    <row r="30" spans="2:9" ht="12.75">
      <c r="B30" s="1" t="s">
        <v>54</v>
      </c>
      <c r="C30" s="1" t="s">
        <v>35</v>
      </c>
      <c r="D30" s="8">
        <v>92</v>
      </c>
      <c r="E30" s="1" t="s">
        <v>38</v>
      </c>
      <c r="F30" s="20"/>
      <c r="G30" s="11"/>
      <c r="H30" s="20"/>
      <c r="I30" s="11"/>
    </row>
    <row r="31" spans="2:9" ht="12.75">
      <c r="B31" s="1" t="s">
        <v>252</v>
      </c>
      <c r="C31" s="1" t="s">
        <v>43</v>
      </c>
      <c r="D31" s="8">
        <v>4.14</v>
      </c>
      <c r="E31" s="1" t="s">
        <v>36</v>
      </c>
      <c r="F31" s="20"/>
      <c r="G31" s="11"/>
      <c r="H31" s="20"/>
      <c r="I31" s="11"/>
    </row>
    <row r="32" ht="13.5">
      <c r="B32" s="1" t="s">
        <v>266</v>
      </c>
    </row>
    <row r="33" ht="12.75">
      <c r="B33" s="7"/>
    </row>
    <row r="34" ht="12.75">
      <c r="B34" s="19" t="s">
        <v>253</v>
      </c>
    </row>
    <row r="35" spans="2:9" ht="12.75">
      <c r="B35" s="13" t="s">
        <v>120</v>
      </c>
      <c r="D35" s="5">
        <v>9</v>
      </c>
      <c r="E35" s="1" t="s">
        <v>51</v>
      </c>
      <c r="F35" s="10"/>
      <c r="G35" s="11"/>
      <c r="H35" s="10"/>
      <c r="I35" s="11"/>
    </row>
    <row r="36" spans="2:9" ht="12.75">
      <c r="B36" s="13" t="s">
        <v>118</v>
      </c>
      <c r="D36" s="5">
        <v>13.5</v>
      </c>
      <c r="E36" s="1" t="s">
        <v>51</v>
      </c>
      <c r="F36" s="10"/>
      <c r="G36" s="11"/>
      <c r="H36" s="10"/>
      <c r="I36" s="11"/>
    </row>
    <row r="37" spans="2:9" ht="12.75">
      <c r="B37" s="13" t="s">
        <v>52</v>
      </c>
      <c r="D37" s="5">
        <v>75</v>
      </c>
      <c r="E37" s="1" t="s">
        <v>51</v>
      </c>
      <c r="F37" s="10"/>
      <c r="G37" s="11"/>
      <c r="H37" s="10"/>
      <c r="I37" s="11"/>
    </row>
    <row r="38" spans="2:9" ht="12.75">
      <c r="B38" s="13" t="s">
        <v>96</v>
      </c>
      <c r="D38" s="5">
        <v>8.75</v>
      </c>
      <c r="E38" s="1" t="s">
        <v>51</v>
      </c>
      <c r="F38" s="10"/>
      <c r="G38" s="11"/>
      <c r="H38" s="10"/>
      <c r="I38" s="11"/>
    </row>
    <row r="39" spans="2:9" ht="12.75">
      <c r="B39" s="1" t="s">
        <v>101</v>
      </c>
      <c r="D39" s="5">
        <v>10</v>
      </c>
      <c r="E39" s="1" t="s">
        <v>51</v>
      </c>
      <c r="F39" s="10"/>
      <c r="G39" s="11"/>
      <c r="H39" s="10"/>
      <c r="I39" s="11"/>
    </row>
    <row r="40" spans="2:9" ht="12.75">
      <c r="B40" s="1" t="s">
        <v>213</v>
      </c>
      <c r="D40" s="5">
        <v>4.5</v>
      </c>
      <c r="E40" s="1" t="s">
        <v>36</v>
      </c>
      <c r="F40" s="10"/>
      <c r="G40" s="11"/>
      <c r="H40" s="10"/>
      <c r="I40" s="11"/>
    </row>
    <row r="41" spans="2:9" ht="12.75">
      <c r="B41" s="1" t="s">
        <v>98</v>
      </c>
      <c r="D41" s="5">
        <v>150</v>
      </c>
      <c r="E41" s="1" t="s">
        <v>51</v>
      </c>
      <c r="F41" s="10"/>
      <c r="G41" s="11"/>
      <c r="H41" s="10"/>
      <c r="I41" s="11"/>
    </row>
    <row r="42" spans="2:9" ht="12.75">
      <c r="B42" s="1" t="s">
        <v>53</v>
      </c>
      <c r="D42" s="5">
        <v>28</v>
      </c>
      <c r="E42" s="1" t="s">
        <v>51</v>
      </c>
      <c r="F42" s="10"/>
      <c r="G42" s="11"/>
      <c r="H42" s="10"/>
      <c r="I42" s="11"/>
    </row>
    <row r="43" spans="2:9" ht="12.75">
      <c r="B43" s="1" t="s">
        <v>114</v>
      </c>
      <c r="D43" s="5">
        <v>12</v>
      </c>
      <c r="E43" s="1" t="s">
        <v>51</v>
      </c>
      <c r="F43" s="10"/>
      <c r="G43" s="11"/>
      <c r="H43" s="10"/>
      <c r="I43" s="11"/>
    </row>
    <row r="44" spans="4:8" ht="12.75">
      <c r="D44" s="5"/>
      <c r="F44" s="10"/>
      <c r="H44" s="10"/>
    </row>
    <row r="45" spans="2:8" ht="12.75">
      <c r="B45" s="9" t="s">
        <v>254</v>
      </c>
      <c r="D45" s="5"/>
      <c r="F45" s="10"/>
      <c r="H45" s="10"/>
    </row>
    <row r="46" spans="2:5" ht="12.75">
      <c r="B46" s="1" t="s">
        <v>93</v>
      </c>
      <c r="D46" s="17">
        <v>39</v>
      </c>
      <c r="E46" s="1" t="s">
        <v>51</v>
      </c>
    </row>
    <row r="47" spans="2:9" ht="12.75">
      <c r="B47" s="1" t="s">
        <v>55</v>
      </c>
      <c r="D47" s="5">
        <v>2.25</v>
      </c>
      <c r="E47" s="1" t="s">
        <v>38</v>
      </c>
      <c r="F47" s="10"/>
      <c r="G47" s="11"/>
      <c r="H47" s="10"/>
      <c r="I47" s="11"/>
    </row>
    <row r="48" spans="2:9" ht="12.75">
      <c r="B48" s="1" t="s">
        <v>255</v>
      </c>
      <c r="D48" s="5">
        <v>2.8</v>
      </c>
      <c r="E48" s="1" t="s">
        <v>38</v>
      </c>
      <c r="F48" s="10"/>
      <c r="G48" s="11"/>
      <c r="H48" s="10"/>
      <c r="I48" s="11"/>
    </row>
    <row r="49" spans="2:9" ht="12.75">
      <c r="B49" s="4" t="s">
        <v>70</v>
      </c>
      <c r="C49" s="4"/>
      <c r="D49" s="14">
        <v>14</v>
      </c>
      <c r="E49" s="4" t="s">
        <v>51</v>
      </c>
      <c r="F49" s="15"/>
      <c r="G49" s="11"/>
      <c r="H49" s="10"/>
      <c r="I49" s="11"/>
    </row>
    <row r="50" spans="2:9" ht="12.75">
      <c r="B50" s="1" t="s">
        <v>56</v>
      </c>
      <c r="D50" s="5">
        <v>15</v>
      </c>
      <c r="E50" s="1" t="s">
        <v>51</v>
      </c>
      <c r="F50" s="10"/>
      <c r="G50" s="11"/>
      <c r="H50" s="10"/>
      <c r="I50" s="11"/>
    </row>
    <row r="51" spans="2:9" ht="12.75">
      <c r="B51" s="1" t="s">
        <v>57</v>
      </c>
      <c r="D51" s="5">
        <v>75</v>
      </c>
      <c r="E51" s="1" t="s">
        <v>51</v>
      </c>
      <c r="F51" s="10"/>
      <c r="G51" s="11"/>
      <c r="H51" s="10"/>
      <c r="I51" s="11"/>
    </row>
    <row r="52" spans="2:8" ht="12.75">
      <c r="B52" s="1" t="s">
        <v>223</v>
      </c>
      <c r="D52" s="5">
        <v>310</v>
      </c>
      <c r="E52" s="1" t="s">
        <v>58</v>
      </c>
      <c r="F52" s="10"/>
      <c r="H52" s="10"/>
    </row>
    <row r="53" spans="2:9" ht="12.75">
      <c r="B53" s="1" t="s">
        <v>59</v>
      </c>
      <c r="D53" s="5">
        <v>15</v>
      </c>
      <c r="E53" s="1" t="s">
        <v>60</v>
      </c>
      <c r="F53" s="10"/>
      <c r="G53" s="11"/>
      <c r="H53" s="10"/>
      <c r="I53" s="11"/>
    </row>
    <row r="54" spans="2:8" ht="12.75">
      <c r="B54" s="1" t="s">
        <v>61</v>
      </c>
      <c r="D54" s="5">
        <v>100</v>
      </c>
      <c r="E54" s="1" t="s">
        <v>51</v>
      </c>
      <c r="F54" s="10"/>
      <c r="H54" s="10"/>
    </row>
    <row r="55" spans="2:9" ht="12.75">
      <c r="B55" s="1" t="s">
        <v>214</v>
      </c>
      <c r="D55" s="5">
        <v>0.15</v>
      </c>
      <c r="E55" s="1" t="s">
        <v>36</v>
      </c>
      <c r="F55" s="10"/>
      <c r="G55" s="11"/>
      <c r="H55" s="10"/>
      <c r="I55" s="11"/>
    </row>
    <row r="56" spans="2:6" ht="12.75">
      <c r="B56" s="4" t="s">
        <v>62</v>
      </c>
      <c r="C56" s="4"/>
      <c r="D56" s="14">
        <v>20</v>
      </c>
      <c r="E56" s="4" t="s">
        <v>51</v>
      </c>
      <c r="F56" s="4"/>
    </row>
    <row r="57" spans="2:6" ht="12.75">
      <c r="B57" s="4" t="s">
        <v>63</v>
      </c>
      <c r="C57" s="4"/>
      <c r="D57" s="14">
        <v>40</v>
      </c>
      <c r="E57" s="4" t="s">
        <v>51</v>
      </c>
      <c r="F57" s="4"/>
    </row>
    <row r="58" spans="2:9" ht="12.75">
      <c r="B58" s="2" t="s">
        <v>64</v>
      </c>
      <c r="C58" s="2"/>
      <c r="D58" s="10">
        <v>450</v>
      </c>
      <c r="E58" s="2" t="s">
        <v>51</v>
      </c>
      <c r="F58" s="10"/>
      <c r="G58" s="11"/>
      <c r="H58" s="10"/>
      <c r="I58" s="11"/>
    </row>
    <row r="59" spans="2:9" ht="12.75">
      <c r="B59" s="2" t="s">
        <v>65</v>
      </c>
      <c r="C59" s="2"/>
      <c r="D59" s="10">
        <v>250</v>
      </c>
      <c r="E59" s="2" t="s">
        <v>51</v>
      </c>
      <c r="F59" s="10"/>
      <c r="G59" s="11"/>
      <c r="H59" s="10"/>
      <c r="I59" s="11"/>
    </row>
    <row r="60" spans="2:9" ht="12.75">
      <c r="B60" s="1" t="s">
        <v>66</v>
      </c>
      <c r="D60" s="5">
        <v>35</v>
      </c>
      <c r="E60" s="1" t="s">
        <v>51</v>
      </c>
      <c r="F60" s="10"/>
      <c r="G60" s="11"/>
      <c r="H60" s="10"/>
      <c r="I60" s="11"/>
    </row>
    <row r="61" spans="2:9" ht="13.5" thickBot="1">
      <c r="B61" s="12" t="s">
        <v>67</v>
      </c>
      <c r="C61" s="12"/>
      <c r="D61" s="16">
        <v>10</v>
      </c>
      <c r="E61" s="12" t="s">
        <v>51</v>
      </c>
      <c r="F61" s="10"/>
      <c r="G61" s="11"/>
      <c r="H61" s="10"/>
      <c r="I61" s="11"/>
    </row>
    <row r="64" spans="5:9" ht="12.75">
      <c r="E64" s="6"/>
      <c r="G64" s="11"/>
      <c r="I64" s="11"/>
    </row>
    <row r="65" spans="5:9" ht="12.75">
      <c r="E65" s="6"/>
      <c r="G65" s="11"/>
      <c r="I65" s="11"/>
    </row>
  </sheetData>
  <sheetProtection/>
  <mergeCells count="1">
    <mergeCell ref="D5:E5"/>
  </mergeCells>
  <printOptions/>
  <pageMargins left="0.7" right="0.7" top="0.75" bottom="0.75" header="0.3" footer="0.3"/>
  <pageSetup fitToHeight="1" fitToWidth="1" horizontalDpi="600" verticalDpi="600" orientation="portrait" scale="80"/>
</worksheet>
</file>

<file path=xl/worksheets/sheet2.xml><?xml version="1.0" encoding="utf-8"?>
<worksheet xmlns="http://schemas.openxmlformats.org/spreadsheetml/2006/main" xmlns:r="http://schemas.openxmlformats.org/officeDocument/2006/relationships">
  <sheetPr>
    <pageSetUpPr fitToPage="1"/>
  </sheetPr>
  <dimension ref="B2:H48"/>
  <sheetViews>
    <sheetView showGridLines="0" zoomScale="80" zoomScaleNormal="80" zoomScalePageLayoutView="0" workbookViewId="0" topLeftCell="A1">
      <selection activeCell="A1" sqref="A1"/>
    </sheetView>
  </sheetViews>
  <sheetFormatPr defaultColWidth="9.140625" defaultRowHeight="15"/>
  <cols>
    <col min="1" max="1" width="5.7109375" style="21" customWidth="1"/>
    <col min="2" max="2" width="66.00390625" style="21" customWidth="1"/>
    <col min="3" max="3" width="21.421875" style="21" customWidth="1"/>
    <col min="4" max="4" width="9.140625" style="21" customWidth="1"/>
    <col min="5" max="5" width="21.421875" style="21" customWidth="1"/>
    <col min="6" max="6" width="4.7109375" style="21" customWidth="1"/>
    <col min="7" max="7" width="10.7109375" style="21" customWidth="1"/>
    <col min="8" max="8" width="9.421875" style="21" bestFit="1" customWidth="1"/>
    <col min="9" max="16384" width="9.140625" style="21" customWidth="1"/>
  </cols>
  <sheetData>
    <row r="2" spans="2:7" ht="15" customHeight="1" thickBot="1">
      <c r="B2" s="242" t="s">
        <v>197</v>
      </c>
      <c r="C2" s="242"/>
      <c r="D2" s="242"/>
      <c r="E2" s="242"/>
      <c r="F2" s="242"/>
      <c r="G2" s="242"/>
    </row>
    <row r="3" spans="2:7" ht="12.75">
      <c r="B3" s="44"/>
      <c r="C3" s="45" t="s">
        <v>235</v>
      </c>
      <c r="D3" s="44"/>
      <c r="E3" s="44" t="s">
        <v>295</v>
      </c>
      <c r="F3" s="44"/>
      <c r="G3" s="46" t="s">
        <v>290</v>
      </c>
    </row>
    <row r="4" spans="2:7" ht="12.75">
      <c r="B4" s="47" t="s">
        <v>198</v>
      </c>
      <c r="C4" s="48">
        <v>66</v>
      </c>
      <c r="D4" s="48"/>
      <c r="E4" s="48">
        <v>157</v>
      </c>
      <c r="G4" s="49"/>
    </row>
    <row r="5" spans="2:7" ht="12.75">
      <c r="B5" s="47" t="s">
        <v>199</v>
      </c>
      <c r="C5" s="48">
        <v>16</v>
      </c>
      <c r="D5" s="48"/>
      <c r="E5" s="48">
        <v>16</v>
      </c>
      <c r="G5" s="50"/>
    </row>
    <row r="6" spans="2:7" ht="12.75">
      <c r="B6" s="24" t="s">
        <v>200</v>
      </c>
      <c r="C6" s="64">
        <f>+C4*C5</f>
        <v>1056</v>
      </c>
      <c r="D6" s="64"/>
      <c r="E6" s="64">
        <f>+E4*E5</f>
        <v>2512</v>
      </c>
      <c r="G6" s="52"/>
    </row>
    <row r="7" spans="3:5" ht="12.75">
      <c r="C7" s="64"/>
      <c r="D7" s="64"/>
      <c r="E7" s="64"/>
    </row>
    <row r="8" spans="3:5" ht="12.75">
      <c r="C8" s="64"/>
      <c r="D8" s="64"/>
      <c r="E8" s="64"/>
    </row>
    <row r="9" spans="2:5" ht="12.75">
      <c r="B9" s="24" t="s">
        <v>201</v>
      </c>
      <c r="C9" s="64"/>
      <c r="D9" s="64"/>
      <c r="E9" s="64"/>
    </row>
    <row r="10" spans="2:5" ht="12.75">
      <c r="B10" s="53" t="s">
        <v>236</v>
      </c>
      <c r="C10" s="64"/>
      <c r="D10" s="64"/>
      <c r="E10" s="64"/>
    </row>
    <row r="11" spans="2:7" ht="12.75">
      <c r="B11" s="47" t="s">
        <v>202</v>
      </c>
      <c r="C11" s="64">
        <f>'Int. Costs &amp; Depr. '!J29+'Int. Costs &amp; Depr. '!J31+'Int. Costs &amp; Depr. '!J33+'Int. Costs &amp; Depr. '!J35</f>
        <v>33</v>
      </c>
      <c r="D11" s="64"/>
      <c r="E11" s="64">
        <v>0</v>
      </c>
      <c r="G11" s="54"/>
    </row>
    <row r="12" spans="2:7" ht="12.75">
      <c r="B12" s="47" t="s">
        <v>203</v>
      </c>
      <c r="C12" s="64">
        <f>+'Estab. Costs'!G9</f>
        <v>154</v>
      </c>
      <c r="D12" s="64"/>
      <c r="E12" s="64">
        <v>0</v>
      </c>
      <c r="G12" s="55"/>
    </row>
    <row r="13" spans="2:7" ht="12.75">
      <c r="B13" s="47" t="s">
        <v>204</v>
      </c>
      <c r="C13" s="64">
        <f>'Estab. Costs'!G20</f>
        <v>600</v>
      </c>
      <c r="D13" s="64"/>
      <c r="E13" s="64">
        <v>0</v>
      </c>
      <c r="G13" s="55"/>
    </row>
    <row r="14" spans="2:7" ht="12.75">
      <c r="B14" s="53" t="s">
        <v>205</v>
      </c>
      <c r="C14" s="64"/>
      <c r="D14" s="64"/>
      <c r="E14" s="64"/>
      <c r="G14" s="52"/>
    </row>
    <row r="15" spans="2:7" ht="12.75">
      <c r="B15" s="47" t="s">
        <v>276</v>
      </c>
      <c r="C15" s="64">
        <f>+'Estab. Costs'!G28</f>
        <v>14.634666666666666</v>
      </c>
      <c r="D15" s="65"/>
      <c r="E15" s="64">
        <v>0</v>
      </c>
      <c r="G15" s="54"/>
    </row>
    <row r="16" spans="2:7" ht="12.75">
      <c r="B16" s="47" t="s">
        <v>206</v>
      </c>
      <c r="C16" s="64">
        <v>0</v>
      </c>
      <c r="D16" s="65"/>
      <c r="E16" s="64">
        <f>+'Full Prod. Costs'!G5</f>
        <v>37.949999999999996</v>
      </c>
      <c r="G16" s="55"/>
    </row>
    <row r="17" spans="2:7" ht="12.75">
      <c r="B17" s="47" t="s">
        <v>207</v>
      </c>
      <c r="C17" s="64">
        <f>+'Estab. Costs'!G23+'Estab. Costs'!G38</f>
        <v>143.7328125</v>
      </c>
      <c r="D17" s="65"/>
      <c r="E17" s="64">
        <f>+'Full Prod. Costs'!G11+'Full Prod. Costs'!G30</f>
        <v>98.41246517857142</v>
      </c>
      <c r="G17" s="55"/>
    </row>
    <row r="18" spans="2:7" ht="12.75">
      <c r="B18" s="47" t="s">
        <v>208</v>
      </c>
      <c r="C18" s="64">
        <f>+'Estab. Costs'!G12+'Estab. Costs'!G49</f>
        <v>266.28</v>
      </c>
      <c r="D18" s="65"/>
      <c r="E18" s="64">
        <f>+'Full Prod. Costs'!G7+'Full Prod. Costs'!G49</f>
        <v>226.44</v>
      </c>
      <c r="G18" s="55"/>
    </row>
    <row r="19" spans="2:7" ht="12.75">
      <c r="B19" s="47" t="s">
        <v>209</v>
      </c>
      <c r="C19" s="64">
        <f>+'Estab. Costs'!G46+'Estab. Costs'!G52+'Estab. Costs'!G58</f>
        <v>60.5530625</v>
      </c>
      <c r="D19" s="65"/>
      <c r="E19" s="64">
        <f>+'Full Prod. Costs'!G24+'Full Prod. Costs'!G33+'Full Prod. Costs'!G37+'Full Prod. Costs'!G40+'Full Prod. Costs'!G44+'Full Prod. Costs'!G58</f>
        <v>236.7120625</v>
      </c>
      <c r="G19" s="55"/>
    </row>
    <row r="20" spans="2:7" ht="12.75">
      <c r="B20" s="47" t="s">
        <v>210</v>
      </c>
      <c r="C20" s="64">
        <f>+'Estab. Costs'!F33+'Estab. Costs'!F34+'Estab. Costs'!F37</f>
        <v>166</v>
      </c>
      <c r="D20" s="65"/>
      <c r="E20" s="64">
        <f>+'Full Prod. Costs'!F22+'Full Prod. Costs'!F23</f>
        <v>150</v>
      </c>
      <c r="G20" s="55"/>
    </row>
    <row r="21" spans="2:7" ht="12.75">
      <c r="B21" s="47" t="s">
        <v>289</v>
      </c>
      <c r="C21" s="64">
        <f>+'Estab. Costs'!G56</f>
        <v>35</v>
      </c>
      <c r="D21" s="65"/>
      <c r="E21" s="64">
        <v>0</v>
      </c>
      <c r="G21" s="55"/>
    </row>
    <row r="22" spans="2:7" ht="12.75">
      <c r="B22" s="47" t="s">
        <v>211</v>
      </c>
      <c r="C22" s="64">
        <f>+'Estab. Costs'!G29+'Estab. Costs'!G45+'Estab. Costs'!G66</f>
        <v>43.903999999999996</v>
      </c>
      <c r="D22" s="65"/>
      <c r="E22" s="64">
        <f>+'Full Prod. Costs'!G18+'Full Prod. Costs'!G52+'Full Prod. Costs'!G55</f>
        <v>67.67456666666666</v>
      </c>
      <c r="F22" s="52"/>
      <c r="G22" s="55"/>
    </row>
    <row r="23" spans="2:7" ht="12.75">
      <c r="B23" s="47" t="s">
        <v>212</v>
      </c>
      <c r="C23" s="64">
        <f>+'Estab. Costs'!G43</f>
        <v>12</v>
      </c>
      <c r="D23" s="65"/>
      <c r="E23" s="64">
        <f>'Full Prod. Costs'!G28</f>
        <v>12</v>
      </c>
      <c r="F23" s="52"/>
      <c r="G23" s="55"/>
    </row>
    <row r="24" spans="2:7" ht="12.75">
      <c r="B24" s="53" t="s">
        <v>237</v>
      </c>
      <c r="C24" s="65"/>
      <c r="D24" s="65"/>
      <c r="E24" s="65"/>
      <c r="F24" s="52"/>
      <c r="G24" s="52"/>
    </row>
    <row r="25" spans="2:7" ht="12.75">
      <c r="B25" s="56" t="s">
        <v>213</v>
      </c>
      <c r="C25" s="64">
        <f>+'Estab. Costs'!G62</f>
        <v>297</v>
      </c>
      <c r="D25" s="65"/>
      <c r="E25" s="64">
        <f>'Full Prod. Costs'!G47+'Full Prod. Costs'!G53</f>
        <v>706.5</v>
      </c>
      <c r="F25" s="52"/>
      <c r="G25" s="54"/>
    </row>
    <row r="26" spans="2:7" ht="12.75">
      <c r="B26" s="56" t="s">
        <v>214</v>
      </c>
      <c r="C26" s="64">
        <f>+'Estab. Costs'!G64</f>
        <v>9.9</v>
      </c>
      <c r="D26" s="65"/>
      <c r="E26" s="64">
        <f>'Full Prod. Costs'!G56</f>
        <v>23.55</v>
      </c>
      <c r="F26" s="52"/>
      <c r="G26" s="52"/>
    </row>
    <row r="27" spans="2:7" ht="12.75">
      <c r="B27" s="56" t="s">
        <v>215</v>
      </c>
      <c r="C27" s="64">
        <f>+'Estab. Costs'!G65</f>
        <v>20</v>
      </c>
      <c r="D27" s="65"/>
      <c r="E27" s="64">
        <f>'Full Prod. Costs'!G57</f>
        <v>40</v>
      </c>
      <c r="F27" s="52"/>
      <c r="G27" s="55"/>
    </row>
    <row r="28" spans="2:7" ht="12.75">
      <c r="B28" s="53" t="s">
        <v>239</v>
      </c>
      <c r="C28" s="65"/>
      <c r="D28" s="65"/>
      <c r="E28" s="65"/>
      <c r="F28" s="52"/>
      <c r="G28" s="52"/>
    </row>
    <row r="29" spans="2:7" ht="12.75">
      <c r="B29" s="56" t="s">
        <v>240</v>
      </c>
      <c r="C29" s="64">
        <f>+'Int. Costs &amp; Depr. '!K54+'Int. Costs &amp; Depr. '!K20</f>
        <v>54.29058241758239</v>
      </c>
      <c r="D29" s="65"/>
      <c r="E29" s="64">
        <f>+C29</f>
        <v>54.29058241758239</v>
      </c>
      <c r="F29" s="52"/>
      <c r="G29" s="52"/>
    </row>
    <row r="30" spans="2:7" ht="12.75">
      <c r="B30" s="56" t="s">
        <v>216</v>
      </c>
      <c r="C30" s="64">
        <f>+'Int. Costs &amp; Depr. '!M54</f>
        <v>95.61962500000001</v>
      </c>
      <c r="D30" s="65"/>
      <c r="E30" s="64">
        <f>+C30</f>
        <v>95.61962500000001</v>
      </c>
      <c r="F30" s="52"/>
      <c r="G30" s="55"/>
    </row>
    <row r="31" spans="2:7" ht="12.75">
      <c r="B31" s="53" t="s">
        <v>241</v>
      </c>
      <c r="C31" s="65"/>
      <c r="D31" s="65"/>
      <c r="E31" s="65"/>
      <c r="F31" s="52"/>
      <c r="G31" s="52"/>
    </row>
    <row r="32" spans="2:7" ht="12.75">
      <c r="B32" s="56" t="s">
        <v>217</v>
      </c>
      <c r="C32" s="64">
        <f>+'Estab. Costs'!G74</f>
        <v>14</v>
      </c>
      <c r="D32" s="65"/>
      <c r="E32" s="64">
        <f>'Full Prod. Costs'!G69</f>
        <v>14</v>
      </c>
      <c r="F32" s="52"/>
      <c r="G32" s="54"/>
    </row>
    <row r="33" spans="2:7" ht="12.75">
      <c r="B33" s="56" t="s">
        <v>218</v>
      </c>
      <c r="C33" s="66">
        <f>0.03*SUM(C11:C32)</f>
        <v>60.59744247252747</v>
      </c>
      <c r="D33" s="65"/>
      <c r="E33" s="66">
        <f>0.03*SUM(E11:E32)</f>
        <v>52.89447905288461</v>
      </c>
      <c r="F33" s="52"/>
      <c r="G33" s="57"/>
    </row>
    <row r="34" spans="2:7" ht="12.75">
      <c r="B34" s="24" t="s">
        <v>242</v>
      </c>
      <c r="C34" s="64">
        <f>+SUM(C11:C33)</f>
        <v>2080.5121915567765</v>
      </c>
      <c r="D34" s="65"/>
      <c r="E34" s="64">
        <f>+SUM(E11:E33)</f>
        <v>1816.043780815705</v>
      </c>
      <c r="F34" s="52"/>
      <c r="G34" s="52"/>
    </row>
    <row r="35" spans="3:7" ht="12.75">
      <c r="C35" s="65"/>
      <c r="D35" s="65"/>
      <c r="E35" s="65"/>
      <c r="F35" s="52"/>
      <c r="G35" s="52"/>
    </row>
    <row r="36" spans="2:7" ht="12.75">
      <c r="B36" s="24" t="s">
        <v>219</v>
      </c>
      <c r="C36" s="65"/>
      <c r="D36" s="65"/>
      <c r="E36" s="65"/>
      <c r="F36" s="52"/>
      <c r="G36" s="52"/>
    </row>
    <row r="37" spans="2:7" ht="12.75">
      <c r="B37" s="56" t="s">
        <v>220</v>
      </c>
      <c r="C37" s="64">
        <f>'Int. Costs &amp; Depr. '!F54+'Int. Costs &amp; Depr. '!F20</f>
        <v>101.18562197802194</v>
      </c>
      <c r="D37" s="65"/>
      <c r="E37" s="64">
        <f>+C37</f>
        <v>101.18562197802194</v>
      </c>
      <c r="F37" s="52"/>
      <c r="G37" s="54"/>
    </row>
    <row r="38" spans="2:7" ht="12.75">
      <c r="B38" s="56" t="s">
        <v>221</v>
      </c>
      <c r="C38" s="64">
        <f>'Int. Costs &amp; Depr. '!G54+'Int. Costs &amp; Depr. '!G20</f>
        <v>62.505030641025655</v>
      </c>
      <c r="D38" s="65"/>
      <c r="E38" s="64">
        <f>+C38</f>
        <v>62.505030641025655</v>
      </c>
      <c r="F38" s="52"/>
      <c r="G38" s="55"/>
    </row>
    <row r="39" spans="2:7" ht="12.75">
      <c r="B39" s="56" t="s">
        <v>222</v>
      </c>
      <c r="C39" s="64">
        <f>'Int. Costs &amp; Depr. '!H54</f>
        <v>15.770787179487177</v>
      </c>
      <c r="D39" s="65"/>
      <c r="E39" s="64">
        <f>+C39</f>
        <v>15.770787179487177</v>
      </c>
      <c r="F39" s="52"/>
      <c r="G39" s="55"/>
    </row>
    <row r="40" spans="2:7" ht="12.75">
      <c r="B40" s="56" t="s">
        <v>223</v>
      </c>
      <c r="C40" s="67">
        <f>+'Estab. Costs'!G72</f>
        <v>310</v>
      </c>
      <c r="D40" s="68"/>
      <c r="E40" s="67">
        <f>+C40</f>
        <v>310</v>
      </c>
      <c r="F40" s="52"/>
      <c r="G40" s="55"/>
    </row>
    <row r="41" spans="2:8" ht="12.75">
      <c r="B41" s="56" t="s">
        <v>224</v>
      </c>
      <c r="C41" s="67">
        <f>+'Estab. Costs'!G73</f>
        <v>100</v>
      </c>
      <c r="D41" s="68"/>
      <c r="E41" s="67">
        <f>+C41</f>
        <v>100</v>
      </c>
      <c r="F41" s="52"/>
      <c r="G41" s="55"/>
      <c r="H41" s="59"/>
    </row>
    <row r="42" spans="2:8" ht="12.75">
      <c r="B42" s="56" t="s">
        <v>225</v>
      </c>
      <c r="C42" s="66">
        <v>0</v>
      </c>
      <c r="D42" s="68"/>
      <c r="E42" s="66">
        <f>+'Prorated Loss'!C7</f>
        <v>615.0073405942344</v>
      </c>
      <c r="F42" s="52"/>
      <c r="G42" s="57"/>
      <c r="H42" s="51"/>
    </row>
    <row r="43" spans="2:7" ht="12.75">
      <c r="B43" s="24" t="s">
        <v>243</v>
      </c>
      <c r="C43" s="64">
        <f>+SUM(C37:C42)</f>
        <v>589.4614397985348</v>
      </c>
      <c r="D43" s="64"/>
      <c r="E43" s="64">
        <f>+SUM(E37:E42)</f>
        <v>1204.468780392769</v>
      </c>
      <c r="F43" s="52"/>
      <c r="G43" s="52"/>
    </row>
    <row r="44" spans="3:7" ht="12.75">
      <c r="C44" s="65"/>
      <c r="D44" s="65"/>
      <c r="E44" s="65"/>
      <c r="F44" s="52"/>
      <c r="G44" s="52"/>
    </row>
    <row r="45" spans="2:7" ht="12.75">
      <c r="B45" s="60" t="s">
        <v>226</v>
      </c>
      <c r="C45" s="67">
        <f>+SUM(C34+C43)</f>
        <v>2669.973631355311</v>
      </c>
      <c r="D45" s="67"/>
      <c r="E45" s="67">
        <f>+SUM(E34,E43)</f>
        <v>3020.512561208474</v>
      </c>
      <c r="F45" s="52"/>
      <c r="G45" s="54"/>
    </row>
    <row r="46" spans="2:5" ht="12.75">
      <c r="B46" s="60" t="s">
        <v>227</v>
      </c>
      <c r="C46" s="67">
        <f>C6-C45</f>
        <v>-1613.9736313553112</v>
      </c>
      <c r="D46" s="68"/>
      <c r="E46" s="68"/>
    </row>
    <row r="47" spans="2:7" ht="13.5" thickBot="1">
      <c r="B47" s="61" t="s">
        <v>139</v>
      </c>
      <c r="C47" s="69"/>
      <c r="D47" s="69"/>
      <c r="E47" s="70">
        <f>+E6-E45</f>
        <v>-508.5125612084739</v>
      </c>
      <c r="F47" s="62"/>
      <c r="G47" s="62"/>
    </row>
    <row r="48" ht="12.75">
      <c r="B48" s="53"/>
    </row>
  </sheetData>
  <sheetProtection sheet="1" objects="1" scenarios="1"/>
  <mergeCells count="1">
    <mergeCell ref="B2:G2"/>
  </mergeCells>
  <printOptions/>
  <pageMargins left="0.7" right="0.7" top="0.75" bottom="0.75" header="0.3" footer="0.3"/>
  <pageSetup fitToHeight="1" fitToWidth="1" horizontalDpi="600" verticalDpi="600" orientation="portrait" scale="68"/>
</worksheet>
</file>

<file path=xl/worksheets/sheet3.xml><?xml version="1.0" encoding="utf-8"?>
<worksheet xmlns="http://schemas.openxmlformats.org/spreadsheetml/2006/main" xmlns:r="http://schemas.openxmlformats.org/officeDocument/2006/relationships">
  <dimension ref="B2:K26"/>
  <sheetViews>
    <sheetView showGridLines="0" zoomScalePageLayoutView="0" workbookViewId="0" topLeftCell="A1">
      <selection activeCell="E12" sqref="E12"/>
    </sheetView>
  </sheetViews>
  <sheetFormatPr defaultColWidth="9.140625" defaultRowHeight="15"/>
  <cols>
    <col min="1" max="1" width="5.7109375" style="21" customWidth="1"/>
    <col min="2" max="3" width="15.7109375" style="21" customWidth="1"/>
    <col min="4" max="4" width="2.7109375" style="21" customWidth="1"/>
    <col min="5" max="5" width="15.7109375" style="21" customWidth="1"/>
    <col min="6" max="6" width="2.7109375" style="21" customWidth="1"/>
    <col min="7" max="7" width="15.7109375" style="21" customWidth="1"/>
    <col min="8" max="8" width="2.7109375" style="21" customWidth="1"/>
    <col min="9" max="9" width="15.7109375" style="21" customWidth="1"/>
    <col min="10" max="10" width="2.7109375" style="21" customWidth="1"/>
    <col min="11" max="11" width="15.7109375" style="21" customWidth="1"/>
    <col min="12" max="12" width="2.7109375" style="21" customWidth="1"/>
    <col min="13" max="13" width="15.7109375" style="21" customWidth="1"/>
    <col min="14" max="14" width="2.7109375" style="21" customWidth="1"/>
    <col min="15" max="16384" width="9.140625" style="21" customWidth="1"/>
  </cols>
  <sheetData>
    <row r="2" spans="2:11" ht="15" thickBot="1">
      <c r="B2" s="71" t="s">
        <v>140</v>
      </c>
      <c r="C2" s="72"/>
      <c r="D2" s="72"/>
      <c r="E2" s="72"/>
      <c r="F2" s="72"/>
      <c r="G2" s="72"/>
      <c r="H2" s="72"/>
      <c r="I2" s="72"/>
      <c r="J2" s="72"/>
      <c r="K2" s="72"/>
    </row>
    <row r="3" spans="2:11" ht="25.5">
      <c r="B3" s="73"/>
      <c r="C3" s="73"/>
      <c r="D3" s="73"/>
      <c r="E3" s="74" t="s">
        <v>141</v>
      </c>
      <c r="F3" s="74"/>
      <c r="G3" s="74" t="s">
        <v>142</v>
      </c>
      <c r="H3" s="74"/>
      <c r="I3" s="75" t="s">
        <v>143</v>
      </c>
      <c r="J3" s="75"/>
      <c r="K3" s="74" t="s">
        <v>144</v>
      </c>
    </row>
    <row r="4" spans="2:11" ht="12.75">
      <c r="B4" s="52"/>
      <c r="C4" s="52"/>
      <c r="E4" s="76"/>
      <c r="F4" s="76"/>
      <c r="G4" s="76"/>
      <c r="H4" s="76"/>
      <c r="I4" s="77"/>
      <c r="J4" s="77"/>
      <c r="K4" s="76"/>
    </row>
    <row r="5" spans="2:11" ht="12.75">
      <c r="B5" s="52" t="s">
        <v>291</v>
      </c>
      <c r="C5" s="52"/>
      <c r="E5" s="82">
        <f>+'Spearmint Budget'!E34</f>
        <v>1816.043780815705</v>
      </c>
      <c r="F5" s="82"/>
      <c r="G5" s="83"/>
      <c r="H5" s="67"/>
      <c r="I5" s="84">
        <f>+E5/'Spearmint Budget'!$E$4</f>
        <v>11.567157839590479</v>
      </c>
      <c r="J5" s="85" t="s">
        <v>297</v>
      </c>
      <c r="K5" s="83"/>
    </row>
    <row r="6" spans="2:11" ht="12.75">
      <c r="B6" s="52"/>
      <c r="C6" s="52"/>
      <c r="E6" s="86"/>
      <c r="F6" s="86"/>
      <c r="G6" s="68"/>
      <c r="H6" s="68"/>
      <c r="I6" s="84"/>
      <c r="J6" s="85"/>
      <c r="K6" s="68"/>
    </row>
    <row r="7" spans="2:11" ht="12.75">
      <c r="B7" s="21" t="s">
        <v>292</v>
      </c>
      <c r="E7" s="87">
        <f>+SUM(E8:E10)</f>
        <v>2141.814567995192</v>
      </c>
      <c r="F7" s="87"/>
      <c r="G7" s="83"/>
      <c r="H7" s="64"/>
      <c r="I7" s="84">
        <f>+E7/'Spearmint Budget'!$E$4</f>
        <v>13.642131006338804</v>
      </c>
      <c r="J7" s="85" t="s">
        <v>298</v>
      </c>
      <c r="K7" s="83"/>
    </row>
    <row r="8" spans="2:11" ht="12.75">
      <c r="B8" s="47" t="s">
        <v>145</v>
      </c>
      <c r="C8" s="78"/>
      <c r="E8" s="88">
        <f>+'Spearmint Budget'!E34</f>
        <v>1816.043780815705</v>
      </c>
      <c r="F8" s="88"/>
      <c r="G8" s="89"/>
      <c r="H8" s="88"/>
      <c r="I8" s="84"/>
      <c r="J8" s="85"/>
      <c r="K8" s="89"/>
    </row>
    <row r="9" spans="2:11" ht="12.75">
      <c r="B9" s="47" t="s">
        <v>146</v>
      </c>
      <c r="C9" s="78"/>
      <c r="E9" s="88">
        <f>+'Spearmint Budget'!E39</f>
        <v>15.770787179487177</v>
      </c>
      <c r="F9" s="88"/>
      <c r="G9" s="89"/>
      <c r="H9" s="90"/>
      <c r="I9" s="84"/>
      <c r="J9" s="85"/>
      <c r="K9" s="89"/>
    </row>
    <row r="10" spans="2:11" ht="12.75">
      <c r="B10" s="47" t="s">
        <v>223</v>
      </c>
      <c r="C10" s="78"/>
      <c r="E10" s="88">
        <f>+'Spearmint Budget'!E40</f>
        <v>310</v>
      </c>
      <c r="F10" s="88"/>
      <c r="G10" s="89"/>
      <c r="H10" s="88"/>
      <c r="I10" s="84"/>
      <c r="J10" s="85"/>
      <c r="K10" s="89"/>
    </row>
    <row r="11" spans="2:11" ht="12.75">
      <c r="B11" s="79"/>
      <c r="C11" s="79"/>
      <c r="E11" s="91"/>
      <c r="F11" s="91"/>
      <c r="G11" s="65"/>
      <c r="H11" s="65"/>
      <c r="I11" s="84"/>
      <c r="J11" s="85"/>
      <c r="K11" s="65"/>
    </row>
    <row r="12" spans="2:11" ht="12.75">
      <c r="B12" s="21" t="s">
        <v>147</v>
      </c>
      <c r="E12" s="87">
        <f>+SUM(E13:E14)</f>
        <v>2243.000189973214</v>
      </c>
      <c r="F12" s="87"/>
      <c r="G12" s="83"/>
      <c r="H12" s="64"/>
      <c r="I12" s="84">
        <f>+E12/'Spearmint Budget'!$E$4</f>
        <v>14.28662541384213</v>
      </c>
      <c r="J12" s="85" t="s">
        <v>299</v>
      </c>
      <c r="K12" s="83"/>
    </row>
    <row r="13" spans="2:11" ht="12.75">
      <c r="B13" s="47" t="s">
        <v>148</v>
      </c>
      <c r="C13" s="78"/>
      <c r="E13" s="88">
        <f>+E7</f>
        <v>2141.814567995192</v>
      </c>
      <c r="F13" s="88"/>
      <c r="G13" s="89"/>
      <c r="H13" s="92"/>
      <c r="I13" s="84"/>
      <c r="J13" s="85"/>
      <c r="K13" s="89"/>
    </row>
    <row r="14" spans="2:11" ht="12.75">
      <c r="B14" s="47" t="s">
        <v>149</v>
      </c>
      <c r="C14" s="78"/>
      <c r="E14" s="88">
        <f>+'Spearmint Budget'!E37</f>
        <v>101.18562197802194</v>
      </c>
      <c r="F14" s="88"/>
      <c r="G14" s="89"/>
      <c r="H14" s="92"/>
      <c r="I14" s="84"/>
      <c r="J14" s="85"/>
      <c r="K14" s="89"/>
    </row>
    <row r="15" spans="2:11" ht="12.75">
      <c r="B15" s="47"/>
      <c r="C15" s="47"/>
      <c r="E15" s="91"/>
      <c r="F15" s="91"/>
      <c r="G15" s="65"/>
      <c r="H15" s="65"/>
      <c r="I15" s="84"/>
      <c r="J15" s="85"/>
      <c r="K15" s="65"/>
    </row>
    <row r="16" spans="2:11" ht="12.75">
      <c r="B16" s="21" t="s">
        <v>293</v>
      </c>
      <c r="E16" s="87">
        <f>+SUM(E17:E20)</f>
        <v>3020.5125612084744</v>
      </c>
      <c r="F16" s="87"/>
      <c r="G16" s="83"/>
      <c r="H16" s="64"/>
      <c r="I16" s="84">
        <f>+E16/'Spearmint Budget'!$E$4</f>
        <v>19.238933510882003</v>
      </c>
      <c r="J16" s="85" t="s">
        <v>300</v>
      </c>
      <c r="K16" s="83"/>
    </row>
    <row r="17" spans="2:11" ht="12.75">
      <c r="B17" s="47" t="s">
        <v>150</v>
      </c>
      <c r="C17" s="78"/>
      <c r="E17" s="88">
        <f>+E12</f>
        <v>2243.000189973214</v>
      </c>
      <c r="F17" s="88"/>
      <c r="G17" s="89"/>
      <c r="H17" s="92"/>
      <c r="I17" s="93"/>
      <c r="J17" s="94"/>
      <c r="K17" s="89"/>
    </row>
    <row r="18" spans="2:11" ht="12.75">
      <c r="B18" s="47" t="s">
        <v>151</v>
      </c>
      <c r="C18" s="47"/>
      <c r="E18" s="88">
        <f>+'Spearmint Budget'!E38</f>
        <v>62.505030641025655</v>
      </c>
      <c r="F18" s="88"/>
      <c r="G18" s="95"/>
      <c r="H18" s="92"/>
      <c r="I18" s="93"/>
      <c r="J18" s="68"/>
      <c r="K18" s="95"/>
    </row>
    <row r="19" spans="2:11" ht="12.75">
      <c r="B19" s="47" t="s">
        <v>277</v>
      </c>
      <c r="C19" s="47"/>
      <c r="E19" s="88">
        <f>+'Spearmint Budget'!E41</f>
        <v>100</v>
      </c>
      <c r="F19" s="88"/>
      <c r="G19" s="95"/>
      <c r="H19" s="92"/>
      <c r="I19" s="93"/>
      <c r="J19" s="68"/>
      <c r="K19" s="95"/>
    </row>
    <row r="20" spans="2:11" ht="12.75">
      <c r="B20" s="80" t="s">
        <v>225</v>
      </c>
      <c r="C20" s="80"/>
      <c r="E20" s="96">
        <f>+'Spearmint Budget'!E42</f>
        <v>615.0073405942344</v>
      </c>
      <c r="F20" s="96"/>
      <c r="G20" s="95"/>
      <c r="H20" s="97"/>
      <c r="I20" s="93"/>
      <c r="J20" s="68"/>
      <c r="K20" s="95"/>
    </row>
    <row r="21" spans="2:11" ht="13.5" thickBot="1">
      <c r="B21" s="62"/>
      <c r="C21" s="62"/>
      <c r="D21" s="62"/>
      <c r="E21" s="98"/>
      <c r="F21" s="98"/>
      <c r="G21" s="69"/>
      <c r="H21" s="69"/>
      <c r="I21" s="99"/>
      <c r="J21" s="69"/>
      <c r="K21" s="69"/>
    </row>
    <row r="22" ht="12.75">
      <c r="B22" s="81" t="s">
        <v>152</v>
      </c>
    </row>
    <row r="23" ht="12.75">
      <c r="B23" s="81" t="s">
        <v>153</v>
      </c>
    </row>
    <row r="24" ht="12.75">
      <c r="B24" s="81" t="s">
        <v>154</v>
      </c>
    </row>
    <row r="25" ht="12.75">
      <c r="B25" s="81" t="s">
        <v>155</v>
      </c>
    </row>
    <row r="26" ht="12.75">
      <c r="B26" s="81" t="s">
        <v>156</v>
      </c>
    </row>
  </sheetData>
  <sheetProtection sheet="1" objects="1" scenarios="1"/>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B2:M16"/>
  <sheetViews>
    <sheetView showGridLines="0" zoomScalePageLayoutView="0" workbookViewId="0" topLeftCell="A1">
      <selection activeCell="C14" sqref="C14"/>
    </sheetView>
  </sheetViews>
  <sheetFormatPr defaultColWidth="9.140625" defaultRowHeight="15"/>
  <cols>
    <col min="1" max="1" width="5.7109375" style="21" customWidth="1"/>
    <col min="2" max="2" width="20.140625" style="21" customWidth="1"/>
    <col min="3" max="3" width="15.7109375" style="21" customWidth="1"/>
    <col min="4" max="4" width="2.7109375" style="21" customWidth="1"/>
    <col min="5" max="5" width="15.7109375" style="21" customWidth="1"/>
    <col min="6" max="6" width="2.7109375" style="21" customWidth="1"/>
    <col min="7" max="7" width="15.7109375" style="21" customWidth="1"/>
    <col min="8" max="8" width="2.7109375" style="21" customWidth="1"/>
    <col min="9" max="9" width="15.7109375" style="21" customWidth="1"/>
    <col min="10" max="10" width="2.7109375" style="21" customWidth="1"/>
    <col min="11" max="11" width="15.7109375" style="21" customWidth="1"/>
    <col min="12" max="12" width="2.7109375" style="21" customWidth="1"/>
    <col min="13" max="13" width="15.7109375" style="21" customWidth="1"/>
    <col min="14" max="14" width="2.7109375" style="21" customWidth="1"/>
    <col min="15" max="16384" width="9.140625" style="21" customWidth="1"/>
  </cols>
  <sheetData>
    <row r="2" spans="2:13" ht="13.5" thickBot="1">
      <c r="B2" s="61" t="s">
        <v>157</v>
      </c>
      <c r="C2" s="62"/>
      <c r="D2" s="62"/>
      <c r="E2" s="62"/>
      <c r="F2" s="62"/>
      <c r="G2" s="62"/>
      <c r="H2" s="62"/>
      <c r="I2" s="62"/>
      <c r="J2" s="62"/>
      <c r="K2" s="62"/>
      <c r="L2" s="62"/>
      <c r="M2" s="62"/>
    </row>
    <row r="3" spans="2:13" ht="12.75">
      <c r="B3" s="52"/>
      <c r="C3" s="243" t="s">
        <v>158</v>
      </c>
      <c r="D3" s="243"/>
      <c r="E3" s="243"/>
      <c r="F3" s="243"/>
      <c r="G3" s="243"/>
      <c r="H3" s="243"/>
      <c r="I3" s="243"/>
      <c r="J3" s="243"/>
      <c r="K3" s="243"/>
      <c r="L3" s="243"/>
      <c r="M3" s="243"/>
    </row>
    <row r="4" spans="2:13" ht="12.75">
      <c r="B4" s="45" t="s">
        <v>159</v>
      </c>
      <c r="C4" s="100">
        <v>14</v>
      </c>
      <c r="D4" s="100"/>
      <c r="E4" s="100">
        <f>C4+1</f>
        <v>15</v>
      </c>
      <c r="F4" s="100"/>
      <c r="G4" s="100">
        <f>E4+1</f>
        <v>16</v>
      </c>
      <c r="H4" s="100"/>
      <c r="I4" s="100">
        <f>G4+1</f>
        <v>17</v>
      </c>
      <c r="J4" s="100"/>
      <c r="K4" s="100">
        <f>I4+1</f>
        <v>18</v>
      </c>
      <c r="L4" s="100"/>
      <c r="M4" s="100">
        <f>K4+1</f>
        <v>19</v>
      </c>
    </row>
    <row r="5" spans="2:13" ht="12.75">
      <c r="B5" s="101">
        <v>137</v>
      </c>
      <c r="C5" s="67">
        <f>($B5*C$4)-(SUM('Spearmint Budget'!$E$11:$E$23,$B5*'Selected Inputs'!$D$40,$B5*'Selected Inputs'!$D$55,'Spearmint Budget'!$E$27:$E$32)*(1+'Price &amp; Yield Anal.'!$C$14))-SUM('Spearmint Budget'!$E$37:$E$42)</f>
        <v>-1006.7225612084742</v>
      </c>
      <c r="D5" s="67"/>
      <c r="E5" s="67">
        <f>($B5*E$4)-(SUM('Spearmint Budget'!$E$11:$E$23,$B5*'Selected Inputs'!$D$40,$B5*'Selected Inputs'!$D$55,'Spearmint Budget'!$E$27:$E$32)*(1+'Price &amp; Yield Anal.'!$C$14))-SUM('Spearmint Budget'!$E$37:$E$42)</f>
        <v>-869.7225612084742</v>
      </c>
      <c r="F5" s="67"/>
      <c r="G5" s="67">
        <f>($B5*G$4)-(SUM('Spearmint Budget'!$E$11:$E$23,$B5*'Selected Inputs'!$D$40,$B5*'Selected Inputs'!$D$55,'Spearmint Budget'!$E$27:$E$32)*(1+'Price &amp; Yield Anal.'!$C$14))-SUM('Spearmint Budget'!$E$37:$E$42)</f>
        <v>-732.7225612084742</v>
      </c>
      <c r="H5" s="67"/>
      <c r="I5" s="67">
        <f>($B5*I$4)-(SUM('Spearmint Budget'!$E$11:$E$23,$B5*'Selected Inputs'!$D$40,$B5*'Selected Inputs'!$D$55,'Spearmint Budget'!$E$27:$E$32)*(1+'Price &amp; Yield Anal.'!$C$14))-SUM('Spearmint Budget'!$E$37:$E$42)</f>
        <v>-595.7225612084742</v>
      </c>
      <c r="J5" s="67"/>
      <c r="K5" s="67">
        <f>($B5*K$4)-(SUM('Spearmint Budget'!$E$11:$E$23,$B5*'Selected Inputs'!$D$40,$B5*'Selected Inputs'!$D$55,'Spearmint Budget'!$E$27:$E$32)*(1+'Price &amp; Yield Anal.'!$C$14))-SUM('Spearmint Budget'!$E$37:$E$42)</f>
        <v>-458.7225612084742</v>
      </c>
      <c r="L5" s="67"/>
      <c r="M5" s="67">
        <f>($B5*M$4)-(SUM('Spearmint Budget'!$E$11:$E$23,$B5*'Selected Inputs'!$D$40,$B5*'Selected Inputs'!$D$55,'Spearmint Budget'!$E$27:$E$32)*(1+'Price &amp; Yield Anal.'!$C$14))-SUM('Spearmint Budget'!$E$37:$E$42)</f>
        <v>-321.7225612084742</v>
      </c>
    </row>
    <row r="6" spans="2:13" ht="12.75">
      <c r="B6" s="101">
        <f>+B5+5</f>
        <v>142</v>
      </c>
      <c r="C6" s="67">
        <f>($B6*C$4)-(SUM('Spearmint Budget'!$E$11:$E$23,$B6*'Selected Inputs'!$D$40,$B6*'Selected Inputs'!$D$55,'Spearmint Budget'!$E$27:$E$32)*(1+'Price &amp; Yield Anal.'!$C$14))-SUM('Spearmint Budget'!$E$37:$E$42)</f>
        <v>-960.6700612084742</v>
      </c>
      <c r="D6" s="67"/>
      <c r="E6" s="67">
        <f>($B6*E$4)-(SUM('Spearmint Budget'!$E$11:$E$23,$B6*'Selected Inputs'!$D$40,$B6*'Selected Inputs'!$D$55,'Spearmint Budget'!$E$27:$E$32)*(1+'Price &amp; Yield Anal.'!$C$14))-SUM('Spearmint Budget'!$E$37:$E$42)</f>
        <v>-818.6700612084742</v>
      </c>
      <c r="F6" s="67"/>
      <c r="G6" s="67">
        <f>($B6*G$4)-(SUM('Spearmint Budget'!$E$11:$E$23,$B6*'Selected Inputs'!$D$40,$B6*'Selected Inputs'!$D$55,'Spearmint Budget'!$E$27:$E$32)*(1+'Price &amp; Yield Anal.'!$C$14))-SUM('Spearmint Budget'!$E$37:$E$42)</f>
        <v>-676.6700612084742</v>
      </c>
      <c r="H6" s="67"/>
      <c r="I6" s="67">
        <f>($B6*I$4)-(SUM('Spearmint Budget'!$E$11:$E$23,$B6*'Selected Inputs'!$D$40,$B6*'Selected Inputs'!$D$55,'Spearmint Budget'!$E$27:$E$32)*(1+'Price &amp; Yield Anal.'!$C$14))-SUM('Spearmint Budget'!$E$37:$E$42)</f>
        <v>-534.6700612084742</v>
      </c>
      <c r="J6" s="67"/>
      <c r="K6" s="67">
        <f>($B6*K$4)-(SUM('Spearmint Budget'!$E$11:$E$23,$B6*'Selected Inputs'!$D$40,$B6*'Selected Inputs'!$D$55,'Spearmint Budget'!$E$27:$E$32)*(1+'Price &amp; Yield Anal.'!$C$14))-SUM('Spearmint Budget'!$E$37:$E$42)</f>
        <v>-392.6700612084742</v>
      </c>
      <c r="L6" s="67"/>
      <c r="M6" s="67">
        <f>($B6*M$4)-(SUM('Spearmint Budget'!$E$11:$E$23,$B6*'Selected Inputs'!$D$40,$B6*'Selected Inputs'!$D$55,'Spearmint Budget'!$E$27:$E$32)*(1+'Price &amp; Yield Anal.'!$C$14))-SUM('Spearmint Budget'!$E$37:$E$42)</f>
        <v>-250.67006120847418</v>
      </c>
    </row>
    <row r="7" spans="2:13" ht="12.75">
      <c r="B7" s="101">
        <f aca="true" t="shared" si="0" ref="B7:B13">+B6+5</f>
        <v>147</v>
      </c>
      <c r="C7" s="67">
        <f>($B7*C$4)-(SUM('Spearmint Budget'!$E$11:$E$23,$B7*'Selected Inputs'!$D$40,$B7*'Selected Inputs'!$D$55,'Spearmint Budget'!$E$27:$E$32)*(1+'Price &amp; Yield Anal.'!$C$14))-SUM('Spearmint Budget'!$E$37:$E$42)</f>
        <v>-914.6175612084742</v>
      </c>
      <c r="D7" s="67"/>
      <c r="E7" s="67">
        <f>($B7*E$4)-(SUM('Spearmint Budget'!$E$11:$E$23,$B7*'Selected Inputs'!$D$40,$B7*'Selected Inputs'!$D$55,'Spearmint Budget'!$E$27:$E$32)*(1+'Price &amp; Yield Anal.'!$C$14))-SUM('Spearmint Budget'!$E$37:$E$42)</f>
        <v>-767.6175612084742</v>
      </c>
      <c r="F7" s="67"/>
      <c r="G7" s="67">
        <f>($B7*G$4)-(SUM('Spearmint Budget'!$E$11:$E$23,$B7*'Selected Inputs'!$D$40,$B7*'Selected Inputs'!$D$55,'Spearmint Budget'!$E$27:$E$32)*(1+'Price &amp; Yield Anal.'!$C$14))-SUM('Spearmint Budget'!$E$37:$E$42)</f>
        <v>-620.6175612084742</v>
      </c>
      <c r="H7" s="67"/>
      <c r="I7" s="67">
        <f>($B7*I$4)-(SUM('Spearmint Budget'!$E$11:$E$23,$B7*'Selected Inputs'!$D$40,$B7*'Selected Inputs'!$D$55,'Spearmint Budget'!$E$27:$E$32)*(1+'Price &amp; Yield Anal.'!$C$14))-SUM('Spearmint Budget'!$E$37:$E$42)</f>
        <v>-473.61756120847417</v>
      </c>
      <c r="J7" s="67"/>
      <c r="K7" s="67">
        <f>($B7*K$4)-(SUM('Spearmint Budget'!$E$11:$E$23,$B7*'Selected Inputs'!$D$40,$B7*'Selected Inputs'!$D$55,'Spearmint Budget'!$E$27:$E$32)*(1+'Price &amp; Yield Anal.'!$C$14))-SUM('Spearmint Budget'!$E$37:$E$42)</f>
        <v>-326.61756120847417</v>
      </c>
      <c r="L7" s="67"/>
      <c r="M7" s="67">
        <f>($B7*M$4)-(SUM('Spearmint Budget'!$E$11:$E$23,$B7*'Selected Inputs'!$D$40,$B7*'Selected Inputs'!$D$55,'Spearmint Budget'!$E$27:$E$32)*(1+'Price &amp; Yield Anal.'!$C$14))-SUM('Spearmint Budget'!$E$37:$E$42)</f>
        <v>-179.61756120847417</v>
      </c>
    </row>
    <row r="8" spans="2:13" ht="12.75">
      <c r="B8" s="101">
        <f t="shared" si="0"/>
        <v>152</v>
      </c>
      <c r="C8" s="67">
        <f>($B8*C$4)-(SUM('Spearmint Budget'!$E$11:$E$23,$B8*'Selected Inputs'!$D$40,$B8*'Selected Inputs'!$D$55,'Spearmint Budget'!$E$27:$E$32)*(1+'Price &amp; Yield Anal.'!$C$14))-SUM('Spearmint Budget'!$E$37:$E$42)</f>
        <v>-868.5650612084742</v>
      </c>
      <c r="D8" s="67"/>
      <c r="E8" s="67">
        <f>($B8*E$4)-(SUM('Spearmint Budget'!$E$11:$E$23,$B8*'Selected Inputs'!$D$40,$B8*'Selected Inputs'!$D$55,'Spearmint Budget'!$E$27:$E$32)*(1+'Price &amp; Yield Anal.'!$C$14))-SUM('Spearmint Budget'!$E$37:$E$42)</f>
        <v>-716.5650612084742</v>
      </c>
      <c r="F8" s="67"/>
      <c r="G8" s="67">
        <f>($B8*G$4)-(SUM('Spearmint Budget'!$E$11:$E$23,$B8*'Selected Inputs'!$D$40,$B8*'Selected Inputs'!$D$55,'Spearmint Budget'!$E$27:$E$32)*(1+'Price &amp; Yield Anal.'!$C$14))-SUM('Spearmint Budget'!$E$37:$E$42)</f>
        <v>-564.5650612084742</v>
      </c>
      <c r="H8" s="67"/>
      <c r="I8" s="67">
        <f>($B8*I$4)-(SUM('Spearmint Budget'!$E$11:$E$23,$B8*'Selected Inputs'!$D$40,$B8*'Selected Inputs'!$D$55,'Spearmint Budget'!$E$27:$E$32)*(1+'Price &amp; Yield Anal.'!$C$14))-SUM('Spearmint Budget'!$E$37:$E$42)</f>
        <v>-412.56506120847416</v>
      </c>
      <c r="J8" s="67"/>
      <c r="K8" s="67">
        <f>($B8*K$4)-(SUM('Spearmint Budget'!$E$11:$E$23,$B8*'Selected Inputs'!$D$40,$B8*'Selected Inputs'!$D$55,'Spearmint Budget'!$E$27:$E$32)*(1+'Price &amp; Yield Anal.'!$C$14))-SUM('Spearmint Budget'!$E$37:$E$42)</f>
        <v>-260.56506120847416</v>
      </c>
      <c r="L8" s="67"/>
      <c r="M8" s="67">
        <f>($B8*M$4)-(SUM('Spearmint Budget'!$E$11:$E$23,$B8*'Selected Inputs'!$D$40,$B8*'Selected Inputs'!$D$55,'Spearmint Budget'!$E$27:$E$32)*(1+'Price &amp; Yield Anal.'!$C$14))-SUM('Spearmint Budget'!$E$37:$E$42)</f>
        <v>-108.56506120847416</v>
      </c>
    </row>
    <row r="9" spans="2:13" ht="12.75">
      <c r="B9" s="101">
        <f t="shared" si="0"/>
        <v>157</v>
      </c>
      <c r="C9" s="67">
        <f>($B9*C$4)-(SUM('Spearmint Budget'!$E$11:$E$23,$B9*'Selected Inputs'!$D$40,$B9*'Selected Inputs'!$D$55,'Spearmint Budget'!$E$27:$E$32)*(1+'Price &amp; Yield Anal.'!$C$14))-SUM('Spearmint Budget'!$E$37:$E$42)</f>
        <v>-822.5125612084742</v>
      </c>
      <c r="D9" s="67"/>
      <c r="E9" s="67">
        <f>($B9*E$4)-(SUM('Spearmint Budget'!$E$11:$E$23,$B9*'Selected Inputs'!$D$40,$B9*'Selected Inputs'!$D$55,'Spearmint Budget'!$E$27:$E$32)*(1+'Price &amp; Yield Anal.'!$C$14))-SUM('Spearmint Budget'!$E$37:$E$42)</f>
        <v>-665.5125612084742</v>
      </c>
      <c r="F9" s="67"/>
      <c r="G9" s="67">
        <f>($B9*G$4)-(SUM('Spearmint Budget'!$E$11:$E$23,$B9*'Selected Inputs'!$D$40,$B9*'Selected Inputs'!$D$55,'Spearmint Budget'!$E$27:$E$32)*(1+'Price &amp; Yield Anal.'!$C$14))-SUM('Spearmint Budget'!$E$37:$E$42)</f>
        <v>-508.51256120847415</v>
      </c>
      <c r="H9" s="67"/>
      <c r="I9" s="67">
        <f>($B9*I$4)-(SUM('Spearmint Budget'!$E$11:$E$23,$B9*'Selected Inputs'!$D$40,$B9*'Selected Inputs'!$D$55,'Spearmint Budget'!$E$27:$E$32)*(1+'Price &amp; Yield Anal.'!$C$14))-SUM('Spearmint Budget'!$E$37:$E$42)</f>
        <v>-351.51256120847415</v>
      </c>
      <c r="J9" s="67"/>
      <c r="K9" s="67">
        <f>($B9*K$4)-(SUM('Spearmint Budget'!$E$11:$E$23,$B9*'Selected Inputs'!$D$40,$B9*'Selected Inputs'!$D$55,'Spearmint Budget'!$E$27:$E$32)*(1+'Price &amp; Yield Anal.'!$C$14))-SUM('Spearmint Budget'!$E$37:$E$42)</f>
        <v>-194.51256120847415</v>
      </c>
      <c r="L9" s="67"/>
      <c r="M9" s="67">
        <f>($B9*M$4)-(SUM('Spearmint Budget'!$E$11:$E$23,$B9*'Selected Inputs'!$D$40,$B9*'Selected Inputs'!$D$55,'Spearmint Budget'!$E$27:$E$32)*(1+'Price &amp; Yield Anal.'!$C$14))-SUM('Spearmint Budget'!$E$37:$E$42)</f>
        <v>-37.51256120847415</v>
      </c>
    </row>
    <row r="10" spans="2:13" ht="12.75">
      <c r="B10" s="101">
        <f t="shared" si="0"/>
        <v>162</v>
      </c>
      <c r="C10" s="67">
        <f>($B10*C$4)-(SUM('Spearmint Budget'!$E$11:$E$23,$B10*'Selected Inputs'!$D$40,$B10*'Selected Inputs'!$D$55,'Spearmint Budget'!$E$27:$E$32)*(1+'Price &amp; Yield Anal.'!$C$14))-SUM('Spearmint Budget'!$E$37:$E$42)</f>
        <v>-776.4600612084741</v>
      </c>
      <c r="D10" s="67"/>
      <c r="E10" s="67">
        <f>($B10*E$4)-(SUM('Spearmint Budget'!$E$11:$E$23,$B10*'Selected Inputs'!$D$40,$B10*'Selected Inputs'!$D$55,'Spearmint Budget'!$E$27:$E$32)*(1+'Price &amp; Yield Anal.'!$C$14))-SUM('Spearmint Budget'!$E$37:$E$42)</f>
        <v>-614.4600612084741</v>
      </c>
      <c r="F10" s="67"/>
      <c r="G10" s="67">
        <f>($B10*G$4)-(SUM('Spearmint Budget'!$E$11:$E$23,$B10*'Selected Inputs'!$D$40,$B10*'Selected Inputs'!$D$55,'Spearmint Budget'!$E$27:$E$32)*(1+'Price &amp; Yield Anal.'!$C$14))-SUM('Spearmint Budget'!$E$37:$E$42)</f>
        <v>-452.46006120847414</v>
      </c>
      <c r="H10" s="67"/>
      <c r="I10" s="67">
        <f>($B10*I$4)-(SUM('Spearmint Budget'!$E$11:$E$23,$B10*'Selected Inputs'!$D$40,$B10*'Selected Inputs'!$D$55,'Spearmint Budget'!$E$27:$E$32)*(1+'Price &amp; Yield Anal.'!$C$14))-SUM('Spearmint Budget'!$E$37:$E$42)</f>
        <v>-290.46006120847414</v>
      </c>
      <c r="J10" s="67"/>
      <c r="K10" s="67">
        <f>($B10*K$4)-(SUM('Spearmint Budget'!$E$11:$E$23,$B10*'Selected Inputs'!$D$40,$B10*'Selected Inputs'!$D$55,'Spearmint Budget'!$E$27:$E$32)*(1+'Price &amp; Yield Anal.'!$C$14))-SUM('Spearmint Budget'!$E$37:$E$42)</f>
        <v>-128.46006120847414</v>
      </c>
      <c r="L10" s="67"/>
      <c r="M10" s="67">
        <f>($B10*M$4)-(SUM('Spearmint Budget'!$E$11:$E$23,$B10*'Selected Inputs'!$D$40,$B10*'Selected Inputs'!$D$55,'Spearmint Budget'!$E$27:$E$32)*(1+'Price &amp; Yield Anal.'!$C$14))-SUM('Spearmint Budget'!$E$37:$E$42)</f>
        <v>33.539938791525856</v>
      </c>
    </row>
    <row r="11" spans="2:13" ht="12.75">
      <c r="B11" s="101">
        <f t="shared" si="0"/>
        <v>167</v>
      </c>
      <c r="C11" s="67">
        <f>($B11*C$4)-(SUM('Spearmint Budget'!$E$11:$E$23,$B11*'Selected Inputs'!$D$40,$B11*'Selected Inputs'!$D$55,'Spearmint Budget'!$E$27:$E$32)*(1+'Price &amp; Yield Anal.'!$C$14))-SUM('Spearmint Budget'!$E$37:$E$42)</f>
        <v>-730.4075612084741</v>
      </c>
      <c r="D11" s="67"/>
      <c r="E11" s="67">
        <f>($B11*E$4)-(SUM('Spearmint Budget'!$E$11:$E$23,$B11*'Selected Inputs'!$D$40,$B11*'Selected Inputs'!$D$55,'Spearmint Budget'!$E$27:$E$32)*(1+'Price &amp; Yield Anal.'!$C$14))-SUM('Spearmint Budget'!$E$37:$E$42)</f>
        <v>-563.4075612084741</v>
      </c>
      <c r="F11" s="67"/>
      <c r="G11" s="67">
        <f>($B11*G$4)-(SUM('Spearmint Budget'!$E$11:$E$23,$B11*'Selected Inputs'!$D$40,$B11*'Selected Inputs'!$D$55,'Spearmint Budget'!$E$27:$E$32)*(1+'Price &amp; Yield Anal.'!$C$14))-SUM('Spearmint Budget'!$E$37:$E$42)</f>
        <v>-396.40756120847414</v>
      </c>
      <c r="H11" s="67"/>
      <c r="I11" s="67">
        <f>($B11*I$4)-(SUM('Spearmint Budget'!$E$11:$E$23,$B11*'Selected Inputs'!$D$40,$B11*'Selected Inputs'!$D$55,'Spearmint Budget'!$E$27:$E$32)*(1+'Price &amp; Yield Anal.'!$C$14))-SUM('Spearmint Budget'!$E$37:$E$42)</f>
        <v>-229.40756120847414</v>
      </c>
      <c r="J11" s="67"/>
      <c r="K11" s="67">
        <f>($B11*K$4)-(SUM('Spearmint Budget'!$E$11:$E$23,$B11*'Selected Inputs'!$D$40,$B11*'Selected Inputs'!$D$55,'Spearmint Budget'!$E$27:$E$32)*(1+'Price &amp; Yield Anal.'!$C$14))-SUM('Spearmint Budget'!$E$37:$E$42)</f>
        <v>-62.407561208474135</v>
      </c>
      <c r="L11" s="67"/>
      <c r="M11" s="67">
        <f>($B11*M$4)-(SUM('Spearmint Budget'!$E$11:$E$23,$B11*'Selected Inputs'!$D$40,$B11*'Selected Inputs'!$D$55,'Spearmint Budget'!$E$27:$E$32)*(1+'Price &amp; Yield Anal.'!$C$14))-SUM('Spearmint Budget'!$E$37:$E$42)</f>
        <v>104.59243879152586</v>
      </c>
    </row>
    <row r="12" spans="2:13" ht="12.75">
      <c r="B12" s="101">
        <f t="shared" si="0"/>
        <v>172</v>
      </c>
      <c r="C12" s="67">
        <f>($B12*C$4)-(SUM('Spearmint Budget'!$E$11:$E$23,$B12*'Selected Inputs'!$D$40,$B12*'Selected Inputs'!$D$55,'Spearmint Budget'!$E$27:$E$32)*(1+'Price &amp; Yield Anal.'!$C$14))-SUM('Spearmint Budget'!$E$37:$E$42)</f>
        <v>-684.3550612084741</v>
      </c>
      <c r="D12" s="67"/>
      <c r="E12" s="67">
        <f>($B12*E$4)-(SUM('Spearmint Budget'!$E$11:$E$23,$B12*'Selected Inputs'!$D$40,$B12*'Selected Inputs'!$D$55,'Spearmint Budget'!$E$27:$E$32)*(1+'Price &amp; Yield Anal.'!$C$14))-SUM('Spearmint Budget'!$E$37:$E$42)</f>
        <v>-512.3550612084741</v>
      </c>
      <c r="F12" s="67"/>
      <c r="G12" s="67">
        <f>($B12*G$4)-(SUM('Spearmint Budget'!$E$11:$E$23,$B12*'Selected Inputs'!$D$40,$B12*'Selected Inputs'!$D$55,'Spearmint Budget'!$E$27:$E$32)*(1+'Price &amp; Yield Anal.'!$C$14))-SUM('Spearmint Budget'!$E$37:$E$42)</f>
        <v>-340.3550612084741</v>
      </c>
      <c r="H12" s="67"/>
      <c r="I12" s="67">
        <f>($B12*I$4)-(SUM('Spearmint Budget'!$E$11:$E$23,$B12*'Selected Inputs'!$D$40,$B12*'Selected Inputs'!$D$55,'Spearmint Budget'!$E$27:$E$32)*(1+'Price &amp; Yield Anal.'!$C$14))-SUM('Spearmint Budget'!$E$37:$E$42)</f>
        <v>-168.35506120847413</v>
      </c>
      <c r="J12" s="67"/>
      <c r="K12" s="67">
        <f>($B12*K$4)-(SUM('Spearmint Budget'!$E$11:$E$23,$B12*'Selected Inputs'!$D$40,$B12*'Selected Inputs'!$D$55,'Spearmint Budget'!$E$27:$E$32)*(1+'Price &amp; Yield Anal.'!$C$14))-SUM('Spearmint Budget'!$E$37:$E$42)</f>
        <v>3.644938791525874</v>
      </c>
      <c r="L12" s="67"/>
      <c r="M12" s="67">
        <f>($B12*M$4)-(SUM('Spearmint Budget'!$E$11:$E$23,$B12*'Selected Inputs'!$D$40,$B12*'Selected Inputs'!$D$55,'Spearmint Budget'!$E$27:$E$32)*(1+'Price &amp; Yield Anal.'!$C$14))-SUM('Spearmint Budget'!$E$37:$E$42)</f>
        <v>175.64493879152587</v>
      </c>
    </row>
    <row r="13" spans="2:13" ht="13.5" thickBot="1">
      <c r="B13" s="102">
        <f t="shared" si="0"/>
        <v>177</v>
      </c>
      <c r="C13" s="70">
        <f>($B13*C$4)-(SUM('Spearmint Budget'!$E$11:$E$23,$B13*'Selected Inputs'!$D$40,$B13*'Selected Inputs'!$D$55,'Spearmint Budget'!$E$27:$E$32)*(1+'Price &amp; Yield Anal.'!$C$14))-SUM('Spearmint Budget'!$E$37:$E$42)</f>
        <v>-638.3025612084741</v>
      </c>
      <c r="D13" s="70"/>
      <c r="E13" s="70">
        <f>($B13*E$4)-(SUM('Spearmint Budget'!$E$11:$E$23,$B13*'Selected Inputs'!$D$40,$B13*'Selected Inputs'!$D$55,'Spearmint Budget'!$E$27:$E$32)*(1+'Price &amp; Yield Anal.'!$C$14))-SUM('Spearmint Budget'!$E$37:$E$42)</f>
        <v>-461.3025612084741</v>
      </c>
      <c r="F13" s="70"/>
      <c r="G13" s="70">
        <f>($B13*G$4)-(SUM('Spearmint Budget'!$E$11:$E$23,$B13*'Selected Inputs'!$D$40,$B13*'Selected Inputs'!$D$55,'Spearmint Budget'!$E$27:$E$32)*(1+'Price &amp; Yield Anal.'!$C$14))-SUM('Spearmint Budget'!$E$37:$E$42)</f>
        <v>-284.3025612084741</v>
      </c>
      <c r="H13" s="70"/>
      <c r="I13" s="70">
        <f>($B13*I$4)-(SUM('Spearmint Budget'!$E$11:$E$23,$B13*'Selected Inputs'!$D$40,$B13*'Selected Inputs'!$D$55,'Spearmint Budget'!$E$27:$E$32)*(1+'Price &amp; Yield Anal.'!$C$14))-SUM('Spearmint Budget'!$E$37:$E$42)</f>
        <v>-107.30256120847412</v>
      </c>
      <c r="J13" s="70"/>
      <c r="K13" s="70">
        <f>($B13*K$4)-(SUM('Spearmint Budget'!$E$11:$E$23,$B13*'Selected Inputs'!$D$40,$B13*'Selected Inputs'!$D$55,'Spearmint Budget'!$E$27:$E$32)*(1+'Price &amp; Yield Anal.'!$C$14))-SUM('Spearmint Budget'!$E$37:$E$42)</f>
        <v>69.69743879152588</v>
      </c>
      <c r="L13" s="70"/>
      <c r="M13" s="70">
        <f>($B13*M$4)-(SUM('Spearmint Budget'!$E$11:$E$23,$B13*'Selected Inputs'!$D$40,$B13*'Selected Inputs'!$D$55,'Spearmint Budget'!$E$27:$E$32)*(1+'Price &amp; Yield Anal.'!$C$14))-SUM('Spearmint Budget'!$E$37:$E$42)</f>
        <v>246.69743879152588</v>
      </c>
    </row>
    <row r="14" spans="2:6" ht="12.75">
      <c r="B14" s="52" t="s">
        <v>280</v>
      </c>
      <c r="C14" s="103">
        <v>0.03</v>
      </c>
      <c r="D14" s="104"/>
      <c r="E14" s="52"/>
      <c r="F14" s="52"/>
    </row>
    <row r="15" spans="2:6" ht="12.75">
      <c r="B15" s="52"/>
      <c r="C15" s="103"/>
      <c r="D15" s="104"/>
      <c r="E15" s="52"/>
      <c r="F15" s="52"/>
    </row>
    <row r="16" spans="2:6" ht="12.75">
      <c r="B16" s="52"/>
      <c r="C16" s="103"/>
      <c r="D16" s="104"/>
      <c r="E16" s="52"/>
      <c r="F16" s="52"/>
    </row>
  </sheetData>
  <sheetProtection sheet="1" objects="1" scenarios="1"/>
  <mergeCells count="1">
    <mergeCell ref="C3:M3"/>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B4:I26"/>
  <sheetViews>
    <sheetView showGridLines="0" zoomScalePageLayoutView="0" workbookViewId="0" topLeftCell="A4">
      <selection activeCell="D14" sqref="D14"/>
    </sheetView>
  </sheetViews>
  <sheetFormatPr defaultColWidth="9.140625" defaultRowHeight="15"/>
  <cols>
    <col min="1" max="1" width="5.7109375" style="21" customWidth="1"/>
    <col min="2" max="2" width="32.8515625" style="21" customWidth="1"/>
    <col min="3" max="5" width="22.421875" style="21" customWidth="1"/>
    <col min="6" max="6" width="22.421875" style="52" customWidth="1"/>
    <col min="7" max="10" width="13.8515625" style="52" customWidth="1"/>
    <col min="11" max="11" width="9.140625" style="52" customWidth="1"/>
    <col min="12" max="16384" width="9.140625" style="21" customWidth="1"/>
  </cols>
  <sheetData>
    <row r="3" ht="15" customHeight="1"/>
    <row r="4" spans="2:6" ht="30" customHeight="1">
      <c r="B4" s="244" t="s">
        <v>160</v>
      </c>
      <c r="C4" s="244"/>
      <c r="D4" s="244"/>
      <c r="E4" s="244"/>
      <c r="F4" s="105"/>
    </row>
    <row r="5" spans="2:9" ht="15" customHeight="1">
      <c r="B5" s="106"/>
      <c r="C5" s="107" t="s">
        <v>161</v>
      </c>
      <c r="D5" s="107" t="s">
        <v>245</v>
      </c>
      <c r="E5" s="107" t="s">
        <v>260</v>
      </c>
      <c r="F5" s="108"/>
      <c r="G5" s="108"/>
      <c r="H5" s="108"/>
      <c r="I5" s="108"/>
    </row>
    <row r="6" spans="2:9" ht="15" customHeight="1">
      <c r="B6" s="109" t="s">
        <v>162</v>
      </c>
      <c r="C6" s="48">
        <v>275000</v>
      </c>
      <c r="D6" s="48">
        <v>1</v>
      </c>
      <c r="E6" s="118">
        <f>+C6*D6</f>
        <v>275000</v>
      </c>
      <c r="F6" s="110"/>
      <c r="G6" s="110"/>
      <c r="H6" s="110"/>
      <c r="I6" s="110"/>
    </row>
    <row r="7" spans="2:9" ht="15" customHeight="1">
      <c r="B7" s="109" t="s">
        <v>163</v>
      </c>
      <c r="C7" s="48">
        <v>120000</v>
      </c>
      <c r="D7" s="48">
        <v>1</v>
      </c>
      <c r="E7" s="118">
        <f aca="true" t="shared" si="0" ref="E7:E23">+C7*D7</f>
        <v>120000</v>
      </c>
      <c r="F7" s="110"/>
      <c r="G7" s="110"/>
      <c r="H7" s="110"/>
      <c r="I7" s="110"/>
    </row>
    <row r="8" spans="2:9" ht="15" customHeight="1">
      <c r="B8" s="109" t="s">
        <v>164</v>
      </c>
      <c r="C8" s="48">
        <v>18000</v>
      </c>
      <c r="D8" s="48">
        <v>1</v>
      </c>
      <c r="E8" s="118">
        <f t="shared" si="0"/>
        <v>18000</v>
      </c>
      <c r="F8" s="110"/>
      <c r="G8" s="110"/>
      <c r="H8" s="110"/>
      <c r="I8" s="110"/>
    </row>
    <row r="9" spans="2:9" ht="15" customHeight="1">
      <c r="B9" s="109" t="s">
        <v>165</v>
      </c>
      <c r="C9" s="48">
        <v>20000</v>
      </c>
      <c r="D9" s="48">
        <v>1</v>
      </c>
      <c r="E9" s="118">
        <f t="shared" si="0"/>
        <v>20000</v>
      </c>
      <c r="F9" s="110"/>
      <c r="G9" s="110"/>
      <c r="H9" s="110"/>
      <c r="I9" s="110"/>
    </row>
    <row r="10" spans="2:9" ht="15" customHeight="1">
      <c r="B10" s="109" t="s">
        <v>166</v>
      </c>
      <c r="C10" s="48">
        <v>10000</v>
      </c>
      <c r="D10" s="48">
        <v>1</v>
      </c>
      <c r="E10" s="118">
        <f t="shared" si="0"/>
        <v>10000</v>
      </c>
      <c r="F10" s="110"/>
      <c r="G10" s="110"/>
      <c r="H10" s="110"/>
      <c r="I10" s="110"/>
    </row>
    <row r="11" spans="2:9" ht="15" customHeight="1">
      <c r="B11" s="109" t="s">
        <v>167</v>
      </c>
      <c r="C11" s="48">
        <v>10000</v>
      </c>
      <c r="D11" s="48">
        <v>1</v>
      </c>
      <c r="E11" s="118">
        <f t="shared" si="0"/>
        <v>10000</v>
      </c>
      <c r="F11" s="110"/>
      <c r="G11" s="110"/>
      <c r="H11" s="110"/>
      <c r="I11" s="110"/>
    </row>
    <row r="12" spans="2:9" ht="15" customHeight="1">
      <c r="B12" s="109" t="s">
        <v>168</v>
      </c>
      <c r="C12" s="48">
        <v>28000</v>
      </c>
      <c r="D12" s="48">
        <v>1</v>
      </c>
      <c r="E12" s="118">
        <f t="shared" si="0"/>
        <v>28000</v>
      </c>
      <c r="F12" s="110"/>
      <c r="G12" s="110"/>
      <c r="H12" s="110"/>
      <c r="I12" s="110"/>
    </row>
    <row r="13" spans="2:9" ht="15" customHeight="1">
      <c r="B13" s="111" t="s">
        <v>169</v>
      </c>
      <c r="C13" s="48">
        <v>25000</v>
      </c>
      <c r="D13" s="48">
        <v>1</v>
      </c>
      <c r="E13" s="118">
        <f t="shared" si="0"/>
        <v>25000</v>
      </c>
      <c r="F13" s="110"/>
      <c r="G13" s="110"/>
      <c r="H13" s="110"/>
      <c r="I13" s="110"/>
    </row>
    <row r="14" spans="2:9" ht="15" customHeight="1">
      <c r="B14" s="109" t="s">
        <v>259</v>
      </c>
      <c r="C14" s="48">
        <v>4200</v>
      </c>
      <c r="D14" s="48">
        <v>1</v>
      </c>
      <c r="E14" s="118">
        <f t="shared" si="0"/>
        <v>4200</v>
      </c>
      <c r="F14" s="110"/>
      <c r="G14" s="110"/>
      <c r="H14" s="110"/>
      <c r="I14" s="110"/>
    </row>
    <row r="15" spans="2:9" ht="15" customHeight="1">
      <c r="B15" s="109" t="s">
        <v>170</v>
      </c>
      <c r="C15" s="48">
        <v>5000</v>
      </c>
      <c r="D15" s="48">
        <v>1</v>
      </c>
      <c r="E15" s="118">
        <f t="shared" si="0"/>
        <v>5000</v>
      </c>
      <c r="F15" s="110"/>
      <c r="G15" s="110"/>
      <c r="H15" s="110"/>
      <c r="I15" s="110"/>
    </row>
    <row r="16" spans="2:9" ht="15" customHeight="1">
      <c r="B16" s="109" t="s">
        <v>171</v>
      </c>
      <c r="C16" s="48">
        <v>700</v>
      </c>
      <c r="D16" s="48">
        <v>1</v>
      </c>
      <c r="E16" s="118">
        <f t="shared" si="0"/>
        <v>700</v>
      </c>
      <c r="F16" s="110"/>
      <c r="G16" s="110"/>
      <c r="H16" s="110"/>
      <c r="I16" s="110"/>
    </row>
    <row r="17" spans="2:9" ht="15" customHeight="1">
      <c r="B17" s="109" t="s">
        <v>172</v>
      </c>
      <c r="C17" s="48">
        <v>33000</v>
      </c>
      <c r="D17" s="48">
        <v>1</v>
      </c>
      <c r="E17" s="118">
        <f t="shared" si="0"/>
        <v>33000</v>
      </c>
      <c r="F17" s="110"/>
      <c r="G17" s="110"/>
      <c r="H17" s="110"/>
      <c r="I17" s="110"/>
    </row>
    <row r="18" spans="2:9" ht="15" customHeight="1">
      <c r="B18" s="109" t="s">
        <v>173</v>
      </c>
      <c r="C18" s="48">
        <v>20000</v>
      </c>
      <c r="D18" s="48">
        <v>1</v>
      </c>
      <c r="E18" s="118">
        <f t="shared" si="0"/>
        <v>20000</v>
      </c>
      <c r="F18" s="110"/>
      <c r="G18" s="110"/>
      <c r="H18" s="110"/>
      <c r="I18" s="110"/>
    </row>
    <row r="19" spans="2:9" ht="15" customHeight="1">
      <c r="B19" s="109" t="s">
        <v>174</v>
      </c>
      <c r="C19" s="48">
        <v>100000</v>
      </c>
      <c r="D19" s="48">
        <v>1</v>
      </c>
      <c r="E19" s="118">
        <f>+C19*D19</f>
        <v>100000</v>
      </c>
      <c r="F19" s="110"/>
      <c r="G19" s="110"/>
      <c r="H19" s="110"/>
      <c r="I19" s="110"/>
    </row>
    <row r="20" spans="2:9" ht="15" customHeight="1">
      <c r="B20" s="109" t="s">
        <v>175</v>
      </c>
      <c r="C20" s="48">
        <v>300</v>
      </c>
      <c r="D20" s="48">
        <v>1</v>
      </c>
      <c r="E20" s="118">
        <f>+C20*D20</f>
        <v>300</v>
      </c>
      <c r="F20" s="110"/>
      <c r="G20" s="110"/>
      <c r="H20" s="110"/>
      <c r="I20" s="110"/>
    </row>
    <row r="21" spans="2:9" ht="15" customHeight="1">
      <c r="B21" s="112" t="s">
        <v>260</v>
      </c>
      <c r="C21" s="113"/>
      <c r="D21" s="113"/>
      <c r="E21" s="119">
        <f>+SUM(E6:E20)</f>
        <v>669200</v>
      </c>
      <c r="F21" s="110"/>
      <c r="G21" s="110"/>
      <c r="H21" s="110"/>
      <c r="I21" s="110"/>
    </row>
    <row r="22" spans="2:9" ht="15" customHeight="1">
      <c r="B22" s="114" t="s">
        <v>244</v>
      </c>
      <c r="C22" s="48"/>
      <c r="D22" s="48"/>
      <c r="E22" s="118"/>
      <c r="F22" s="110"/>
      <c r="G22" s="110"/>
      <c r="H22" s="110"/>
      <c r="I22" s="110"/>
    </row>
    <row r="23" spans="2:5" s="52" customFormat="1" ht="15" customHeight="1" thickBot="1">
      <c r="B23" s="62" t="s">
        <v>176</v>
      </c>
      <c r="C23" s="115">
        <v>6500</v>
      </c>
      <c r="D23" s="115">
        <v>1</v>
      </c>
      <c r="E23" s="120">
        <f t="shared" si="0"/>
        <v>6500</v>
      </c>
    </row>
    <row r="24" spans="2:9" s="52" customFormat="1" ht="15" customHeight="1">
      <c r="B24" s="112"/>
      <c r="C24" s="116"/>
      <c r="D24" s="116"/>
      <c r="E24" s="116"/>
      <c r="F24" s="110"/>
      <c r="G24" s="110"/>
      <c r="H24" s="110"/>
      <c r="I24" s="110"/>
    </row>
    <row r="25" spans="6:9" s="52" customFormat="1" ht="15" customHeight="1">
      <c r="F25" s="110"/>
      <c r="G25" s="110"/>
      <c r="H25" s="110"/>
      <c r="I25" s="110"/>
    </row>
    <row r="26" spans="3:9" ht="15.75" customHeight="1">
      <c r="C26" s="117"/>
      <c r="D26" s="117"/>
      <c r="E26" s="117"/>
      <c r="F26" s="110"/>
      <c r="G26" s="110"/>
      <c r="H26" s="110"/>
      <c r="I26" s="110"/>
    </row>
  </sheetData>
  <sheetProtection sheet="1" objects="1" scenarios="1"/>
  <mergeCells count="1">
    <mergeCell ref="B4:E4"/>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pageSetUpPr fitToPage="1"/>
  </sheetPr>
  <dimension ref="B2:T56"/>
  <sheetViews>
    <sheetView showGridLines="0" zoomScale="80" zoomScaleNormal="80" zoomScalePageLayoutView="0" workbookViewId="0" topLeftCell="C26">
      <selection activeCell="F42" sqref="F42"/>
    </sheetView>
  </sheetViews>
  <sheetFormatPr defaultColWidth="9.140625" defaultRowHeight="15"/>
  <cols>
    <col min="1" max="1" width="5.7109375" style="21" customWidth="1"/>
    <col min="2" max="2" width="23.8515625" style="21" customWidth="1"/>
    <col min="3" max="3" width="12.7109375" style="21" customWidth="1"/>
    <col min="4" max="4" width="30.421875" style="21" customWidth="1"/>
    <col min="5" max="5" width="8.140625" style="21" customWidth="1"/>
    <col min="6" max="6" width="14.28125" style="21" customWidth="1"/>
    <col min="7" max="7" width="14.8515625" style="21" customWidth="1"/>
    <col min="8" max="8" width="13.8515625" style="21" customWidth="1"/>
    <col min="9" max="9" width="13.7109375" style="21" customWidth="1"/>
    <col min="10" max="14" width="12.7109375" style="21" customWidth="1"/>
    <col min="15" max="16" width="11.7109375" style="21" customWidth="1"/>
    <col min="17" max="16384" width="9.140625" style="21" customWidth="1"/>
  </cols>
  <sheetData>
    <row r="2" spans="2:16" ht="13.5" thickBot="1">
      <c r="B2" s="245" t="s">
        <v>177</v>
      </c>
      <c r="C2" s="245"/>
      <c r="D2" s="245"/>
      <c r="E2" s="245"/>
      <c r="F2" s="245"/>
      <c r="G2" s="245"/>
      <c r="H2" s="245"/>
      <c r="I2" s="62"/>
      <c r="J2" s="62"/>
      <c r="K2" s="62"/>
      <c r="L2" s="62"/>
      <c r="M2" s="62"/>
      <c r="N2" s="62"/>
      <c r="O2" s="62"/>
      <c r="P2" s="62"/>
    </row>
    <row r="3" spans="2:16" ht="39">
      <c r="B3" s="106"/>
      <c r="C3" s="107" t="s">
        <v>178</v>
      </c>
      <c r="D3" s="107" t="s">
        <v>179</v>
      </c>
      <c r="E3" s="107" t="s">
        <v>268</v>
      </c>
      <c r="F3" s="107" t="s">
        <v>180</v>
      </c>
      <c r="G3" s="107" t="s">
        <v>181</v>
      </c>
      <c r="H3" s="121" t="s">
        <v>182</v>
      </c>
      <c r="I3" s="107" t="s">
        <v>274</v>
      </c>
      <c r="J3" s="107" t="s">
        <v>271</v>
      </c>
      <c r="K3" s="107" t="s">
        <v>183</v>
      </c>
      <c r="L3" s="121" t="s">
        <v>184</v>
      </c>
      <c r="M3" s="121" t="s">
        <v>185</v>
      </c>
      <c r="N3" s="107" t="s">
        <v>186</v>
      </c>
      <c r="O3" s="107" t="s">
        <v>272</v>
      </c>
      <c r="P3" s="107" t="s">
        <v>273</v>
      </c>
    </row>
    <row r="4" spans="2:16" ht="12.75">
      <c r="B4" s="112"/>
      <c r="C4" s="246" t="s">
        <v>187</v>
      </c>
      <c r="D4" s="246"/>
      <c r="E4" s="246"/>
      <c r="F4" s="246"/>
      <c r="G4" s="246"/>
      <c r="H4" s="246"/>
      <c r="I4" s="246"/>
      <c r="J4" s="246"/>
      <c r="K4" s="246"/>
      <c r="L4" s="246"/>
      <c r="M4" s="246"/>
      <c r="N4" s="246"/>
      <c r="O4" s="246"/>
      <c r="P4" s="246"/>
    </row>
    <row r="5" spans="2:16" ht="25.5">
      <c r="B5" s="122" t="s">
        <v>162</v>
      </c>
      <c r="C5" s="150">
        <f>+'Machinery &amp; Building Req'!E6</f>
        <v>275000</v>
      </c>
      <c r="D5" s="123">
        <v>15</v>
      </c>
      <c r="E5" s="123">
        <v>500</v>
      </c>
      <c r="F5" s="151">
        <f aca="true" t="shared" si="0" ref="F5:F17">+(C5-$C$22*C5)/(D5*E5)</f>
        <v>33</v>
      </c>
      <c r="G5" s="152">
        <f aca="true" t="shared" si="1" ref="G5:G17">+((C5+$C$22*C5)/2)*$C$21/E5</f>
        <v>21.175000000000004</v>
      </c>
      <c r="H5" s="152">
        <f>(0.01*C5)/E5</f>
        <v>5.5</v>
      </c>
      <c r="I5" s="152">
        <f>+SUM(F5:H5)</f>
        <v>59.675000000000004</v>
      </c>
      <c r="J5" s="126">
        <v>5000</v>
      </c>
      <c r="K5" s="156">
        <f>+J5/E5</f>
        <v>10</v>
      </c>
      <c r="L5" s="127" t="s">
        <v>269</v>
      </c>
      <c r="M5" s="128">
        <v>9</v>
      </c>
      <c r="N5" s="64">
        <f>('Selected Inputs'!$D$47*M5)*1.15</f>
        <v>23.287499999999998</v>
      </c>
      <c r="O5" s="64">
        <f>N5+K5</f>
        <v>33.287499999999994</v>
      </c>
      <c r="P5" s="64">
        <f>I5+O5</f>
        <v>92.9625</v>
      </c>
    </row>
    <row r="6" spans="2:16" ht="25.5">
      <c r="B6" s="122" t="s">
        <v>163</v>
      </c>
      <c r="C6" s="150">
        <f>+'Machinery &amp; Building Req'!E7</f>
        <v>120000</v>
      </c>
      <c r="D6" s="123">
        <v>15</v>
      </c>
      <c r="E6" s="123">
        <v>500</v>
      </c>
      <c r="F6" s="151">
        <f t="shared" si="0"/>
        <v>14.4</v>
      </c>
      <c r="G6" s="152">
        <f t="shared" si="1"/>
        <v>9.24</v>
      </c>
      <c r="H6" s="152">
        <f aca="true" t="shared" si="2" ref="H6:H17">(0.01*C6)/E6</f>
        <v>2.4</v>
      </c>
      <c r="I6" s="152">
        <f aca="true" t="shared" si="3" ref="I6:I19">+SUM(F6:H6)</f>
        <v>26.04</v>
      </c>
      <c r="J6" s="126">
        <v>4500</v>
      </c>
      <c r="K6" s="156">
        <f aca="true" t="shared" si="4" ref="K6:K17">+J6/E6</f>
        <v>9</v>
      </c>
      <c r="L6" s="127" t="s">
        <v>269</v>
      </c>
      <c r="M6" s="128">
        <v>4</v>
      </c>
      <c r="N6" s="64">
        <f>('Selected Inputs'!$D$47*M6)*1.15</f>
        <v>10.35</v>
      </c>
      <c r="O6" s="64">
        <f aca="true" t="shared" si="5" ref="O6:O17">N6+K6</f>
        <v>19.35</v>
      </c>
      <c r="P6" s="64">
        <f aca="true" t="shared" si="6" ref="P6:P20">I6+O6</f>
        <v>45.39</v>
      </c>
    </row>
    <row r="7" spans="2:16" ht="12.75">
      <c r="B7" s="122" t="s">
        <v>164</v>
      </c>
      <c r="C7" s="150">
        <f>+'Machinery &amp; Building Req'!E8</f>
        <v>18000</v>
      </c>
      <c r="D7" s="123">
        <v>15</v>
      </c>
      <c r="E7" s="123">
        <v>200</v>
      </c>
      <c r="F7" s="151">
        <f t="shared" si="0"/>
        <v>5.4</v>
      </c>
      <c r="G7" s="153">
        <f t="shared" si="1"/>
        <v>3.4650000000000007</v>
      </c>
      <c r="H7" s="153">
        <f t="shared" si="2"/>
        <v>0.9</v>
      </c>
      <c r="I7" s="153">
        <f t="shared" si="3"/>
        <v>9.765000000000002</v>
      </c>
      <c r="J7" s="126">
        <v>1500</v>
      </c>
      <c r="K7" s="156">
        <f t="shared" si="4"/>
        <v>7.5</v>
      </c>
      <c r="L7" s="127"/>
      <c r="M7" s="128"/>
      <c r="N7" s="64"/>
      <c r="O7" s="64">
        <f t="shared" si="5"/>
        <v>7.5</v>
      </c>
      <c r="P7" s="64">
        <f t="shared" si="6"/>
        <v>17.265</v>
      </c>
    </row>
    <row r="8" spans="2:16" ht="12.75">
      <c r="B8" s="122" t="s">
        <v>165</v>
      </c>
      <c r="C8" s="150">
        <f>+'Machinery &amp; Building Req'!E9</f>
        <v>20000</v>
      </c>
      <c r="D8" s="123">
        <v>15</v>
      </c>
      <c r="E8" s="123">
        <v>500</v>
      </c>
      <c r="F8" s="151">
        <f t="shared" si="0"/>
        <v>2.4</v>
      </c>
      <c r="G8" s="153">
        <f t="shared" si="1"/>
        <v>1.5400000000000003</v>
      </c>
      <c r="H8" s="153">
        <f t="shared" si="2"/>
        <v>0.4</v>
      </c>
      <c r="I8" s="153">
        <f t="shared" si="3"/>
        <v>4.340000000000001</v>
      </c>
      <c r="J8" s="126">
        <v>1800</v>
      </c>
      <c r="K8" s="156">
        <f t="shared" si="4"/>
        <v>3.6</v>
      </c>
      <c r="L8" s="127"/>
      <c r="M8" s="128"/>
      <c r="N8" s="64"/>
      <c r="O8" s="64">
        <f t="shared" si="5"/>
        <v>3.6</v>
      </c>
      <c r="P8" s="64">
        <f t="shared" si="6"/>
        <v>7.940000000000001</v>
      </c>
    </row>
    <row r="9" spans="2:16" ht="12.75">
      <c r="B9" s="122" t="s">
        <v>166</v>
      </c>
      <c r="C9" s="150">
        <f>+'Machinery &amp; Building Req'!E10</f>
        <v>10000</v>
      </c>
      <c r="D9" s="123">
        <v>20</v>
      </c>
      <c r="E9" s="123">
        <v>150</v>
      </c>
      <c r="F9" s="151">
        <f t="shared" si="0"/>
        <v>3</v>
      </c>
      <c r="G9" s="153">
        <f t="shared" si="1"/>
        <v>2.566666666666667</v>
      </c>
      <c r="H9" s="153">
        <f t="shared" si="2"/>
        <v>0.6666666666666666</v>
      </c>
      <c r="I9" s="153">
        <f t="shared" si="3"/>
        <v>6.233333333333333</v>
      </c>
      <c r="J9" s="126">
        <v>1000</v>
      </c>
      <c r="K9" s="156">
        <f t="shared" si="4"/>
        <v>6.666666666666667</v>
      </c>
      <c r="L9" s="127"/>
      <c r="M9" s="128"/>
      <c r="N9" s="64"/>
      <c r="O9" s="64">
        <f t="shared" si="5"/>
        <v>6.666666666666667</v>
      </c>
      <c r="P9" s="64">
        <f t="shared" si="6"/>
        <v>12.9</v>
      </c>
    </row>
    <row r="10" spans="2:16" ht="12.75">
      <c r="B10" s="122" t="s">
        <v>167</v>
      </c>
      <c r="C10" s="150">
        <f>+'Machinery &amp; Building Req'!E11</f>
        <v>10000</v>
      </c>
      <c r="D10" s="123">
        <v>20</v>
      </c>
      <c r="E10" s="123">
        <v>300</v>
      </c>
      <c r="F10" s="151">
        <f t="shared" si="0"/>
        <v>1.5</v>
      </c>
      <c r="G10" s="153">
        <f t="shared" si="1"/>
        <v>1.2833333333333334</v>
      </c>
      <c r="H10" s="153">
        <f t="shared" si="2"/>
        <v>0.3333333333333333</v>
      </c>
      <c r="I10" s="153">
        <f t="shared" si="3"/>
        <v>3.1166666666666667</v>
      </c>
      <c r="J10" s="126">
        <v>800</v>
      </c>
      <c r="K10" s="156">
        <f t="shared" si="4"/>
        <v>2.6666666666666665</v>
      </c>
      <c r="L10" s="127"/>
      <c r="M10" s="128"/>
      <c r="N10" s="64"/>
      <c r="O10" s="64">
        <f t="shared" si="5"/>
        <v>2.6666666666666665</v>
      </c>
      <c r="P10" s="64">
        <f t="shared" si="6"/>
        <v>5.783333333333333</v>
      </c>
    </row>
    <row r="11" spans="2:16" ht="12.75">
      <c r="B11" s="122" t="s">
        <v>168</v>
      </c>
      <c r="C11" s="150">
        <f>+'Machinery &amp; Building Req'!E12</f>
        <v>28000</v>
      </c>
      <c r="D11" s="123">
        <v>15</v>
      </c>
      <c r="E11" s="123">
        <v>200</v>
      </c>
      <c r="F11" s="151">
        <f t="shared" si="0"/>
        <v>8.4</v>
      </c>
      <c r="G11" s="153">
        <f t="shared" si="1"/>
        <v>5.39</v>
      </c>
      <c r="H11" s="153">
        <f t="shared" si="2"/>
        <v>1.4</v>
      </c>
      <c r="I11" s="153">
        <f t="shared" si="3"/>
        <v>15.19</v>
      </c>
      <c r="J11" s="126">
        <v>2000</v>
      </c>
      <c r="K11" s="156">
        <f t="shared" si="4"/>
        <v>10</v>
      </c>
      <c r="L11" s="127"/>
      <c r="M11" s="128"/>
      <c r="N11" s="64"/>
      <c r="O11" s="64">
        <f t="shared" si="5"/>
        <v>10</v>
      </c>
      <c r="P11" s="64">
        <f t="shared" si="6"/>
        <v>25.189999999999998</v>
      </c>
    </row>
    <row r="12" spans="2:16" ht="12.75">
      <c r="B12" s="129" t="s">
        <v>169</v>
      </c>
      <c r="C12" s="150">
        <f>+'Machinery &amp; Building Req'!E13</f>
        <v>25000</v>
      </c>
      <c r="D12" s="123">
        <v>20</v>
      </c>
      <c r="E12" s="123">
        <v>300</v>
      </c>
      <c r="F12" s="151">
        <f t="shared" si="0"/>
        <v>3.75</v>
      </c>
      <c r="G12" s="153">
        <f t="shared" si="1"/>
        <v>3.208333333333334</v>
      </c>
      <c r="H12" s="153">
        <f t="shared" si="2"/>
        <v>0.8333333333333334</v>
      </c>
      <c r="I12" s="153">
        <f t="shared" si="3"/>
        <v>7.791666666666667</v>
      </c>
      <c r="J12" s="126">
        <v>1500</v>
      </c>
      <c r="K12" s="156">
        <f t="shared" si="4"/>
        <v>5</v>
      </c>
      <c r="L12" s="127"/>
      <c r="M12" s="128"/>
      <c r="N12" s="64"/>
      <c r="O12" s="64">
        <f t="shared" si="5"/>
        <v>5</v>
      </c>
      <c r="P12" s="64">
        <f t="shared" si="6"/>
        <v>12.791666666666668</v>
      </c>
    </row>
    <row r="13" spans="2:16" ht="12.75">
      <c r="B13" s="109" t="s">
        <v>259</v>
      </c>
      <c r="C13" s="150">
        <f>+'Machinery &amp; Building Req'!E14</f>
        <v>4200</v>
      </c>
      <c r="D13" s="123">
        <v>20</v>
      </c>
      <c r="E13" s="123">
        <v>100</v>
      </c>
      <c r="F13" s="151">
        <f t="shared" si="0"/>
        <v>1.89</v>
      </c>
      <c r="G13" s="153">
        <f t="shared" si="1"/>
        <v>1.6170000000000002</v>
      </c>
      <c r="H13" s="153">
        <f t="shared" si="2"/>
        <v>0.42</v>
      </c>
      <c r="I13" s="153">
        <f t="shared" si="3"/>
        <v>3.927</v>
      </c>
      <c r="J13" s="126">
        <v>200</v>
      </c>
      <c r="K13" s="156">
        <f t="shared" si="4"/>
        <v>2</v>
      </c>
      <c r="L13" s="127"/>
      <c r="M13" s="128"/>
      <c r="N13" s="64"/>
      <c r="O13" s="64">
        <f t="shared" si="5"/>
        <v>2</v>
      </c>
      <c r="P13" s="64">
        <f t="shared" si="6"/>
        <v>5.927</v>
      </c>
    </row>
    <row r="14" spans="2:16" ht="12.75">
      <c r="B14" s="109" t="s">
        <v>170</v>
      </c>
      <c r="C14" s="150">
        <f>+'Machinery &amp; Building Req'!E15</f>
        <v>5000</v>
      </c>
      <c r="D14" s="123">
        <v>7</v>
      </c>
      <c r="E14" s="123">
        <v>1000</v>
      </c>
      <c r="F14" s="151">
        <f t="shared" si="0"/>
        <v>0.6428571428571429</v>
      </c>
      <c r="G14" s="153">
        <f t="shared" si="1"/>
        <v>0.19250000000000003</v>
      </c>
      <c r="H14" s="153">
        <f t="shared" si="2"/>
        <v>0.05</v>
      </c>
      <c r="I14" s="153">
        <f t="shared" si="3"/>
        <v>0.885357142857143</v>
      </c>
      <c r="J14" s="126">
        <v>200</v>
      </c>
      <c r="K14" s="156">
        <f t="shared" si="4"/>
        <v>0.2</v>
      </c>
      <c r="L14" s="127" t="s">
        <v>270</v>
      </c>
      <c r="M14" s="128">
        <v>5</v>
      </c>
      <c r="N14" s="64">
        <f>('Selected Inputs'!$D$48*M14)*1.15</f>
        <v>16.099999999999998</v>
      </c>
      <c r="O14" s="64">
        <f t="shared" si="5"/>
        <v>16.299999999999997</v>
      </c>
      <c r="P14" s="64">
        <f t="shared" si="6"/>
        <v>17.18535714285714</v>
      </c>
    </row>
    <row r="15" spans="2:16" ht="12.75">
      <c r="B15" s="109" t="s">
        <v>171</v>
      </c>
      <c r="C15" s="150">
        <f>+'Machinery &amp; Building Req'!E16</f>
        <v>700</v>
      </c>
      <c r="D15" s="123">
        <v>10</v>
      </c>
      <c r="E15" s="123">
        <v>100</v>
      </c>
      <c r="F15" s="151">
        <f t="shared" si="0"/>
        <v>0.63</v>
      </c>
      <c r="G15" s="153">
        <f t="shared" si="1"/>
        <v>0.2695</v>
      </c>
      <c r="H15" s="153">
        <f t="shared" si="2"/>
        <v>0.07</v>
      </c>
      <c r="I15" s="153">
        <f t="shared" si="3"/>
        <v>0.9695</v>
      </c>
      <c r="J15" s="126">
        <v>150</v>
      </c>
      <c r="K15" s="156">
        <f t="shared" si="4"/>
        <v>1.5</v>
      </c>
      <c r="L15" s="127"/>
      <c r="M15" s="128"/>
      <c r="N15" s="64"/>
      <c r="O15" s="64">
        <f t="shared" si="5"/>
        <v>1.5</v>
      </c>
      <c r="P15" s="64">
        <f t="shared" si="6"/>
        <v>2.4695</v>
      </c>
    </row>
    <row r="16" spans="2:16" ht="12.75">
      <c r="B16" s="109" t="s">
        <v>172</v>
      </c>
      <c r="C16" s="150">
        <f>+'Machinery &amp; Building Req'!E17</f>
        <v>33000</v>
      </c>
      <c r="D16" s="123">
        <v>6</v>
      </c>
      <c r="E16" s="123">
        <v>1300</v>
      </c>
      <c r="F16" s="151">
        <f t="shared" si="0"/>
        <v>3.8076923076923075</v>
      </c>
      <c r="G16" s="153">
        <f t="shared" si="1"/>
        <v>0.9773076923076924</v>
      </c>
      <c r="H16" s="153">
        <f t="shared" si="2"/>
        <v>0.25384615384615383</v>
      </c>
      <c r="I16" s="153">
        <f t="shared" si="3"/>
        <v>5.038846153846154</v>
      </c>
      <c r="J16" s="126">
        <v>1500</v>
      </c>
      <c r="K16" s="156">
        <f t="shared" si="4"/>
        <v>1.1538461538461537</v>
      </c>
      <c r="L16" s="127" t="s">
        <v>270</v>
      </c>
      <c r="M16" s="128">
        <v>3</v>
      </c>
      <c r="N16" s="64">
        <f>('Selected Inputs'!$D$48*M16)*1.15</f>
        <v>9.659999999999998</v>
      </c>
      <c r="O16" s="64">
        <f t="shared" si="5"/>
        <v>10.813846153846152</v>
      </c>
      <c r="P16" s="64">
        <f t="shared" si="6"/>
        <v>15.852692307692305</v>
      </c>
    </row>
    <row r="17" spans="2:16" ht="12.75">
      <c r="B17" s="109" t="s">
        <v>173</v>
      </c>
      <c r="C17" s="150">
        <f>+'Machinery &amp; Building Req'!E18</f>
        <v>20000</v>
      </c>
      <c r="D17" s="123">
        <v>8</v>
      </c>
      <c r="E17" s="123">
        <v>900</v>
      </c>
      <c r="F17" s="151">
        <f t="shared" si="0"/>
        <v>2.5</v>
      </c>
      <c r="G17" s="153">
        <f t="shared" si="1"/>
        <v>0.8555555555555557</v>
      </c>
      <c r="H17" s="153">
        <f t="shared" si="2"/>
        <v>0.2222222222222222</v>
      </c>
      <c r="I17" s="153">
        <f t="shared" si="3"/>
        <v>3.577777777777778</v>
      </c>
      <c r="J17" s="126">
        <v>1500</v>
      </c>
      <c r="K17" s="156">
        <f t="shared" si="4"/>
        <v>1.6666666666666667</v>
      </c>
      <c r="L17" s="127" t="s">
        <v>270</v>
      </c>
      <c r="M17" s="128">
        <v>3</v>
      </c>
      <c r="N17" s="64">
        <f>('Selected Inputs'!$D$48*M17)*1.15</f>
        <v>9.659999999999998</v>
      </c>
      <c r="O17" s="64">
        <f t="shared" si="5"/>
        <v>11.326666666666664</v>
      </c>
      <c r="P17" s="64">
        <f t="shared" si="6"/>
        <v>14.904444444444442</v>
      </c>
    </row>
    <row r="18" spans="2:16" ht="12.75">
      <c r="B18" s="109"/>
      <c r="C18" s="247" t="s">
        <v>141</v>
      </c>
      <c r="D18" s="247"/>
      <c r="E18" s="247"/>
      <c r="F18" s="247"/>
      <c r="G18" s="247"/>
      <c r="H18" s="247"/>
      <c r="I18" s="247"/>
      <c r="J18" s="247"/>
      <c r="K18" s="247"/>
      <c r="L18" s="247"/>
      <c r="M18" s="247"/>
      <c r="N18" s="247"/>
      <c r="O18" s="247"/>
      <c r="P18" s="247"/>
    </row>
    <row r="19" spans="2:16" ht="25.5">
      <c r="B19" s="109" t="s">
        <v>175</v>
      </c>
      <c r="C19" s="150">
        <f>+'Machinery &amp; Building Req'!E20</f>
        <v>300</v>
      </c>
      <c r="D19" s="123">
        <v>3</v>
      </c>
      <c r="E19" s="130"/>
      <c r="F19" s="151">
        <f>+(C19-$C$22*C19)/(D19*$C$23)</f>
        <v>0.32142857142857145</v>
      </c>
      <c r="G19" s="152">
        <f>((C19+$C$22*C19)*$C$21)/$C$23</f>
        <v>0.0825</v>
      </c>
      <c r="H19" s="152">
        <f>((C19/D19)/$C$23)*0.001</f>
        <v>0.00035714285714285714</v>
      </c>
      <c r="I19" s="154">
        <f t="shared" si="3"/>
        <v>0.4042857142857143</v>
      </c>
      <c r="J19" s="126">
        <v>100</v>
      </c>
      <c r="K19" s="156">
        <f>+J19/$C$23</f>
        <v>0.35714285714285715</v>
      </c>
      <c r="L19" s="157"/>
      <c r="M19" s="158"/>
      <c r="N19" s="159"/>
      <c r="O19" s="64">
        <f>N19+K19</f>
        <v>0.35714285714285715</v>
      </c>
      <c r="P19" s="64">
        <f t="shared" si="6"/>
        <v>0.7614285714285715</v>
      </c>
    </row>
    <row r="20" spans="2:16" s="52" customFormat="1" ht="12.75">
      <c r="B20" s="131" t="s">
        <v>188</v>
      </c>
      <c r="C20" s="150">
        <f>+'Machinery &amp; Building Req'!E23</f>
        <v>6500</v>
      </c>
      <c r="D20" s="123">
        <v>10</v>
      </c>
      <c r="E20" s="130"/>
      <c r="F20" s="151">
        <f>+(C20-$C$22*C20)/(D20*$C$23)</f>
        <v>2.0892857142857144</v>
      </c>
      <c r="G20" s="153">
        <f>((C20+$C$22*C20)*$C$21)/$C$23</f>
        <v>1.7875000000000003</v>
      </c>
      <c r="H20" s="153">
        <f>((C20/D20)/$C$23)*0.001</f>
        <v>0.0023214285714285715</v>
      </c>
      <c r="I20" s="155">
        <f>+SUM(F20:H20)</f>
        <v>3.8791071428571433</v>
      </c>
      <c r="J20" s="133">
        <v>1000</v>
      </c>
      <c r="K20" s="156">
        <f>+J20/$C$23</f>
        <v>3.5714285714285716</v>
      </c>
      <c r="L20" s="160"/>
      <c r="M20" s="161"/>
      <c r="N20" s="162"/>
      <c r="O20" s="64">
        <f>N20+K20</f>
        <v>3.5714285714285716</v>
      </c>
      <c r="P20" s="64">
        <f t="shared" si="6"/>
        <v>7.450535714285715</v>
      </c>
    </row>
    <row r="21" spans="2:16" s="52" customFormat="1" ht="12.75">
      <c r="B21" s="131" t="s">
        <v>246</v>
      </c>
      <c r="C21" s="136">
        <v>0.07</v>
      </c>
      <c r="D21" s="130"/>
      <c r="E21" s="130"/>
      <c r="F21" s="124"/>
      <c r="G21" s="132"/>
      <c r="H21" s="132"/>
      <c r="I21" s="132"/>
      <c r="J21" s="133"/>
      <c r="K21" s="133"/>
      <c r="L21" s="110"/>
      <c r="M21" s="134"/>
      <c r="N21" s="135"/>
      <c r="O21" s="135"/>
      <c r="P21" s="58"/>
    </row>
    <row r="22" spans="2:16" s="52" customFormat="1" ht="12.75">
      <c r="B22" s="131" t="s">
        <v>189</v>
      </c>
      <c r="C22" s="136">
        <v>0.1</v>
      </c>
      <c r="D22" s="130"/>
      <c r="E22" s="130"/>
      <c r="F22" s="124"/>
      <c r="G22" s="132"/>
      <c r="H22" s="132"/>
      <c r="I22" s="132"/>
      <c r="J22" s="133"/>
      <c r="K22" s="133"/>
      <c r="L22" s="110"/>
      <c r="M22" s="134"/>
      <c r="N22" s="135"/>
      <c r="O22" s="135"/>
      <c r="P22" s="58"/>
    </row>
    <row r="23" spans="2:16" ht="13.5" thickBot="1">
      <c r="B23" s="137" t="s">
        <v>190</v>
      </c>
      <c r="C23" s="138">
        <v>280</v>
      </c>
      <c r="D23" s="139"/>
      <c r="E23" s="139"/>
      <c r="F23" s="140"/>
      <c r="G23" s="141"/>
      <c r="H23" s="141"/>
      <c r="I23" s="141"/>
      <c r="J23" s="142"/>
      <c r="K23" s="142"/>
      <c r="L23" s="143"/>
      <c r="M23" s="144"/>
      <c r="N23" s="145"/>
      <c r="O23" s="145"/>
      <c r="P23" s="63"/>
    </row>
    <row r="24" spans="2:11" ht="12.75">
      <c r="B24" s="146" t="s">
        <v>275</v>
      </c>
      <c r="F24" s="31"/>
      <c r="G24" s="31"/>
      <c r="J24" s="125"/>
      <c r="K24" s="125"/>
    </row>
    <row r="25" spans="2:11" ht="12.75">
      <c r="B25" s="146" t="s">
        <v>191</v>
      </c>
      <c r="F25" s="31"/>
      <c r="G25" s="31"/>
      <c r="J25" s="125"/>
      <c r="K25" s="125"/>
    </row>
    <row r="26" spans="6:20" ht="12.75">
      <c r="F26" s="31"/>
      <c r="G26" s="31"/>
      <c r="J26" s="125"/>
      <c r="K26" s="125"/>
      <c r="R26" s="52"/>
      <c r="S26" s="52"/>
      <c r="T26" s="52"/>
    </row>
    <row r="27" spans="2:19" ht="13.5" thickBot="1">
      <c r="B27" s="61" t="s">
        <v>192</v>
      </c>
      <c r="C27" s="62"/>
      <c r="D27" s="62"/>
      <c r="E27" s="62"/>
      <c r="F27" s="147"/>
      <c r="G27" s="147"/>
      <c r="H27" s="62"/>
      <c r="I27" s="62"/>
      <c r="J27" s="141"/>
      <c r="K27" s="141"/>
      <c r="L27" s="62"/>
      <c r="M27" s="62"/>
      <c r="N27" s="62"/>
      <c r="O27" s="62"/>
      <c r="P27" s="52"/>
      <c r="Q27" s="52"/>
      <c r="R27" s="52"/>
      <c r="S27" s="52"/>
    </row>
    <row r="28" spans="2:19" ht="39">
      <c r="B28" s="107" t="s">
        <v>278</v>
      </c>
      <c r="C28" s="107" t="s">
        <v>71</v>
      </c>
      <c r="D28" s="107" t="s">
        <v>279</v>
      </c>
      <c r="E28" s="107" t="s">
        <v>72</v>
      </c>
      <c r="F28" s="107" t="s">
        <v>180</v>
      </c>
      <c r="G28" s="107" t="s">
        <v>181</v>
      </c>
      <c r="H28" s="121" t="s">
        <v>182</v>
      </c>
      <c r="I28" s="107" t="s">
        <v>274</v>
      </c>
      <c r="J28" s="107" t="s">
        <v>238</v>
      </c>
      <c r="K28" s="107" t="s">
        <v>73</v>
      </c>
      <c r="L28" s="121" t="s">
        <v>74</v>
      </c>
      <c r="M28" s="107" t="s">
        <v>186</v>
      </c>
      <c r="N28" s="107" t="s">
        <v>272</v>
      </c>
      <c r="O28" s="107" t="s">
        <v>260</v>
      </c>
      <c r="P28" s="148"/>
      <c r="Q28" s="148"/>
      <c r="R28" s="148"/>
      <c r="S28" s="52"/>
    </row>
    <row r="29" spans="2:19" ht="12.75">
      <c r="B29" s="146" t="s">
        <v>75</v>
      </c>
      <c r="C29" s="149">
        <v>0.33</v>
      </c>
      <c r="D29" s="21" t="s">
        <v>162</v>
      </c>
      <c r="E29" s="149">
        <v>0.4</v>
      </c>
      <c r="F29" s="64">
        <f aca="true" t="shared" si="7" ref="F29:K29">+$C$29*F5</f>
        <v>10.89</v>
      </c>
      <c r="G29" s="64">
        <f t="shared" si="7"/>
        <v>6.987750000000002</v>
      </c>
      <c r="H29" s="64">
        <f t="shared" si="7"/>
        <v>1.8150000000000002</v>
      </c>
      <c r="I29" s="64">
        <f>SUM(F29:H29)</f>
        <v>19.692750000000004</v>
      </c>
      <c r="J29" s="64">
        <f>+E29*'Selected Inputs'!$D$53</f>
        <v>6</v>
      </c>
      <c r="K29" s="64">
        <f t="shared" si="7"/>
        <v>3.3000000000000003</v>
      </c>
      <c r="L29" s="64">
        <f>+$C29*M5</f>
        <v>2.97</v>
      </c>
      <c r="M29" s="64">
        <f>+$C$29*N5</f>
        <v>7.684875</v>
      </c>
      <c r="N29" s="64">
        <f>+SUM(J29:M29)</f>
        <v>19.954875</v>
      </c>
      <c r="O29" s="64">
        <f>+SUM(N29:N30)+SUM(I29:I30)</f>
        <v>42.267825</v>
      </c>
      <c r="P29" s="58"/>
      <c r="Q29" s="52"/>
      <c r="R29" s="58"/>
      <c r="S29" s="52"/>
    </row>
    <row r="30" spans="4:19" ht="12.75">
      <c r="D30" s="21" t="s">
        <v>85</v>
      </c>
      <c r="F30" s="64">
        <f aca="true" t="shared" si="8" ref="F30:K30">$C$29*F8</f>
        <v>0.792</v>
      </c>
      <c r="G30" s="64">
        <f t="shared" si="8"/>
        <v>0.5082000000000001</v>
      </c>
      <c r="H30" s="64">
        <f t="shared" si="8"/>
        <v>0.132</v>
      </c>
      <c r="I30" s="64">
        <f aca="true" t="shared" si="9" ref="I30:I53">SUM(F30:H30)</f>
        <v>1.4322000000000004</v>
      </c>
      <c r="J30" s="64"/>
      <c r="K30" s="64">
        <f t="shared" si="8"/>
        <v>1.1880000000000002</v>
      </c>
      <c r="L30" s="64"/>
      <c r="M30" s="64"/>
      <c r="N30" s="64">
        <f aca="true" t="shared" si="10" ref="N30:N53">+SUM(J30:M30)</f>
        <v>1.1880000000000002</v>
      </c>
      <c r="O30" s="64"/>
      <c r="P30" s="58"/>
      <c r="Q30" s="52"/>
      <c r="R30" s="52"/>
      <c r="S30" s="52"/>
    </row>
    <row r="31" spans="2:19" ht="12.75">
      <c r="B31" s="21" t="s">
        <v>76</v>
      </c>
      <c r="C31" s="149">
        <v>0.67</v>
      </c>
      <c r="D31" s="21" t="s">
        <v>162</v>
      </c>
      <c r="E31" s="149">
        <v>0.8</v>
      </c>
      <c r="F31" s="163">
        <f>+$C$31*F5</f>
        <v>22.110000000000003</v>
      </c>
      <c r="G31" s="163">
        <f>+$C$31*G5</f>
        <v>14.187250000000004</v>
      </c>
      <c r="H31" s="163">
        <f>+$C$31*H5</f>
        <v>3.685</v>
      </c>
      <c r="I31" s="64">
        <f t="shared" si="9"/>
        <v>39.98225000000001</v>
      </c>
      <c r="J31" s="64">
        <f>+E31*'Selected Inputs'!$D$53</f>
        <v>12</v>
      </c>
      <c r="K31" s="163">
        <f>+$C$31*K5</f>
        <v>6.7</v>
      </c>
      <c r="L31" s="163">
        <f>+$C$31*M5</f>
        <v>6.03</v>
      </c>
      <c r="M31" s="163">
        <f>+$C$31*N5</f>
        <v>15.602625</v>
      </c>
      <c r="N31" s="64">
        <f t="shared" si="10"/>
        <v>40.332625</v>
      </c>
      <c r="O31" s="64">
        <f aca="true" t="shared" si="11" ref="O31:O49">+SUM(N31:N32)+SUM(I31:I32)</f>
        <v>88.957875</v>
      </c>
      <c r="P31" s="58"/>
      <c r="Q31" s="52"/>
      <c r="R31" s="52"/>
      <c r="S31" s="52"/>
    </row>
    <row r="32" spans="2:16" ht="12.75">
      <c r="B32" s="26"/>
      <c r="C32" s="149"/>
      <c r="D32" s="21" t="s">
        <v>166</v>
      </c>
      <c r="E32" s="149"/>
      <c r="F32" s="163">
        <f>+$C$31*F9</f>
        <v>2.0100000000000002</v>
      </c>
      <c r="G32" s="163">
        <f>+$C$31*G9</f>
        <v>1.719666666666667</v>
      </c>
      <c r="H32" s="163">
        <f>+$C$31*H9</f>
        <v>0.44666666666666666</v>
      </c>
      <c r="I32" s="64">
        <f t="shared" si="9"/>
        <v>4.176333333333334</v>
      </c>
      <c r="J32" s="64"/>
      <c r="K32" s="163">
        <f>+$C$31*K9</f>
        <v>4.466666666666667</v>
      </c>
      <c r="L32" s="163"/>
      <c r="M32" s="163"/>
      <c r="N32" s="64">
        <f t="shared" si="10"/>
        <v>4.466666666666667</v>
      </c>
      <c r="O32" s="64"/>
      <c r="P32" s="58"/>
    </row>
    <row r="33" spans="2:16" ht="12.75">
      <c r="B33" s="26" t="s">
        <v>77</v>
      </c>
      <c r="C33" s="149">
        <v>0.33</v>
      </c>
      <c r="D33" s="21" t="s">
        <v>162</v>
      </c>
      <c r="E33" s="149">
        <v>0.4</v>
      </c>
      <c r="F33" s="163">
        <f>$C$33*F5</f>
        <v>10.89</v>
      </c>
      <c r="G33" s="163">
        <f>$C$33*G5</f>
        <v>6.987750000000002</v>
      </c>
      <c r="H33" s="163">
        <f>$C$33*H5</f>
        <v>1.8150000000000002</v>
      </c>
      <c r="I33" s="64">
        <f t="shared" si="9"/>
        <v>19.692750000000004</v>
      </c>
      <c r="J33" s="64">
        <f>+E33*'Selected Inputs'!$D$53</f>
        <v>6</v>
      </c>
      <c r="K33" s="163">
        <f>$C$33*K5</f>
        <v>3.3000000000000003</v>
      </c>
      <c r="L33" s="163">
        <f>$C$33*M5</f>
        <v>2.97</v>
      </c>
      <c r="M33" s="163">
        <f>$C$33*N5</f>
        <v>7.684875</v>
      </c>
      <c r="N33" s="64">
        <f t="shared" si="10"/>
        <v>19.954875</v>
      </c>
      <c r="O33" s="64">
        <f t="shared" si="11"/>
        <v>47.960325000000005</v>
      </c>
      <c r="P33" s="58"/>
    </row>
    <row r="34" spans="2:16" ht="12.75">
      <c r="B34" s="26"/>
      <c r="C34" s="149"/>
      <c r="D34" s="21" t="s">
        <v>168</v>
      </c>
      <c r="E34" s="149"/>
      <c r="F34" s="163">
        <f>$C$33*F11</f>
        <v>2.7720000000000002</v>
      </c>
      <c r="G34" s="163">
        <f>$C$33*G11</f>
        <v>1.7787</v>
      </c>
      <c r="H34" s="163">
        <f>$C$33*H11</f>
        <v>0.46199999999999997</v>
      </c>
      <c r="I34" s="64">
        <f t="shared" si="9"/>
        <v>5.0127</v>
      </c>
      <c r="J34" s="64"/>
      <c r="K34" s="163">
        <f>$C$33*K11</f>
        <v>3.3000000000000003</v>
      </c>
      <c r="L34" s="163"/>
      <c r="M34" s="163"/>
      <c r="N34" s="64">
        <f t="shared" si="10"/>
        <v>3.3000000000000003</v>
      </c>
      <c r="O34" s="64"/>
      <c r="P34" s="58"/>
    </row>
    <row r="35" spans="2:16" ht="12.75">
      <c r="B35" s="26" t="s">
        <v>78</v>
      </c>
      <c r="C35" s="149">
        <v>0.5</v>
      </c>
      <c r="D35" s="21" t="s">
        <v>162</v>
      </c>
      <c r="E35" s="149">
        <v>0.6</v>
      </c>
      <c r="F35" s="163">
        <f>$C$35*F5</f>
        <v>16.5</v>
      </c>
      <c r="G35" s="163">
        <f>$C$35*G5</f>
        <v>10.587500000000002</v>
      </c>
      <c r="H35" s="163">
        <f>$C$35*H5</f>
        <v>2.75</v>
      </c>
      <c r="I35" s="64">
        <f t="shared" si="9"/>
        <v>29.837500000000002</v>
      </c>
      <c r="J35" s="64">
        <f>+E35*'Selected Inputs'!$D$53</f>
        <v>9</v>
      </c>
      <c r="K35" s="163">
        <f>$C$35*K5</f>
        <v>5</v>
      </c>
      <c r="L35" s="163">
        <f>$C$35*M5</f>
        <v>4.5</v>
      </c>
      <c r="M35" s="163">
        <f>$C$35*N5</f>
        <v>11.643749999999999</v>
      </c>
      <c r="N35" s="64">
        <f t="shared" si="10"/>
        <v>30.143749999999997</v>
      </c>
      <c r="O35" s="64">
        <f t="shared" si="11"/>
        <v>68.61375000000001</v>
      </c>
      <c r="P35" s="58"/>
    </row>
    <row r="36" spans="2:16" ht="12.75">
      <c r="B36" s="26"/>
      <c r="C36" s="149"/>
      <c r="D36" s="21" t="s">
        <v>164</v>
      </c>
      <c r="E36" s="149"/>
      <c r="F36" s="163">
        <f>$C$35*F7</f>
        <v>2.7</v>
      </c>
      <c r="G36" s="163">
        <f>$C$35*G7</f>
        <v>1.7325000000000004</v>
      </c>
      <c r="H36" s="163">
        <f>$C$35*H7</f>
        <v>0.45</v>
      </c>
      <c r="I36" s="64">
        <f t="shared" si="9"/>
        <v>4.882500000000001</v>
      </c>
      <c r="J36" s="64"/>
      <c r="K36" s="163">
        <f>$C$35*K7</f>
        <v>3.75</v>
      </c>
      <c r="L36" s="163"/>
      <c r="M36" s="163"/>
      <c r="N36" s="64">
        <f t="shared" si="10"/>
        <v>3.75</v>
      </c>
      <c r="O36" s="64"/>
      <c r="P36" s="58"/>
    </row>
    <row r="37" spans="2:16" ht="12.75">
      <c r="B37" s="26" t="s">
        <v>276</v>
      </c>
      <c r="C37" s="149">
        <v>0.2</v>
      </c>
      <c r="D37" s="21" t="s">
        <v>163</v>
      </c>
      <c r="E37" s="149">
        <v>0.24</v>
      </c>
      <c r="F37" s="163">
        <f>$C$37*F6</f>
        <v>2.8800000000000003</v>
      </c>
      <c r="G37" s="163">
        <f>$C$37*G6</f>
        <v>1.848</v>
      </c>
      <c r="H37" s="163">
        <f>$C$37*H6</f>
        <v>0.48</v>
      </c>
      <c r="I37" s="64">
        <f t="shared" si="9"/>
        <v>5.208</v>
      </c>
      <c r="J37" s="64">
        <f>+E37*'Selected Inputs'!$D$53</f>
        <v>3.5999999999999996</v>
      </c>
      <c r="K37" s="163">
        <f>$C$37*K6</f>
        <v>1.8</v>
      </c>
      <c r="L37" s="163">
        <f>$C$37*M6</f>
        <v>0.8</v>
      </c>
      <c r="M37" s="163">
        <f>$C$37*N6</f>
        <v>2.07</v>
      </c>
      <c r="N37" s="64">
        <f t="shared" si="10"/>
        <v>8.27</v>
      </c>
      <c r="O37" s="64">
        <f t="shared" si="11"/>
        <v>14.634666666666666</v>
      </c>
      <c r="P37" s="58"/>
    </row>
    <row r="38" spans="3:16" ht="12.75">
      <c r="C38" s="149"/>
      <c r="D38" s="21" t="s">
        <v>167</v>
      </c>
      <c r="E38" s="149"/>
      <c r="F38" s="163">
        <f>+$C$37*F10</f>
        <v>0.30000000000000004</v>
      </c>
      <c r="G38" s="163">
        <f>+$C$37*G10</f>
        <v>0.2566666666666667</v>
      </c>
      <c r="H38" s="163">
        <f>+$C$37*H10</f>
        <v>0.06666666666666667</v>
      </c>
      <c r="I38" s="64">
        <f t="shared" si="9"/>
        <v>0.6233333333333334</v>
      </c>
      <c r="J38" s="64"/>
      <c r="K38" s="163">
        <f>+$C$37*K10</f>
        <v>0.5333333333333333</v>
      </c>
      <c r="L38" s="163"/>
      <c r="M38" s="163"/>
      <c r="N38" s="64">
        <f t="shared" si="10"/>
        <v>0.5333333333333333</v>
      </c>
      <c r="O38" s="64"/>
      <c r="P38" s="58"/>
    </row>
    <row r="39" spans="2:16" ht="12.75">
      <c r="B39" s="21" t="s">
        <v>79</v>
      </c>
      <c r="C39" s="149">
        <v>0.25</v>
      </c>
      <c r="D39" s="21" t="s">
        <v>170</v>
      </c>
      <c r="E39" s="149">
        <v>0.3</v>
      </c>
      <c r="F39" s="163">
        <f aca="true" t="shared" si="12" ref="F39:H40">$C$39*F14</f>
        <v>0.16071428571428573</v>
      </c>
      <c r="G39" s="163">
        <f t="shared" si="12"/>
        <v>0.04812500000000001</v>
      </c>
      <c r="H39" s="163">
        <f t="shared" si="12"/>
        <v>0.0125</v>
      </c>
      <c r="I39" s="64">
        <f t="shared" si="9"/>
        <v>0.22133928571428574</v>
      </c>
      <c r="J39" s="64">
        <f>+E39*'Selected Inputs'!$D$53</f>
        <v>4.5</v>
      </c>
      <c r="K39" s="163">
        <f>$C$39*K14</f>
        <v>0.05</v>
      </c>
      <c r="L39" s="163">
        <f>$C$39*M14</f>
        <v>1.25</v>
      </c>
      <c r="M39" s="163">
        <f>$C$39*N14</f>
        <v>4.0249999999999995</v>
      </c>
      <c r="N39" s="64">
        <f t="shared" si="10"/>
        <v>9.825</v>
      </c>
      <c r="O39" s="64">
        <f t="shared" si="11"/>
        <v>10.663714285714285</v>
      </c>
      <c r="P39" s="58"/>
    </row>
    <row r="40" spans="3:16" ht="12.75">
      <c r="C40" s="149"/>
      <c r="D40" s="21" t="s">
        <v>171</v>
      </c>
      <c r="E40" s="149"/>
      <c r="F40" s="163">
        <f t="shared" si="12"/>
        <v>0.1575</v>
      </c>
      <c r="G40" s="163">
        <f t="shared" si="12"/>
        <v>0.067375</v>
      </c>
      <c r="H40" s="163">
        <f t="shared" si="12"/>
        <v>0.0175</v>
      </c>
      <c r="I40" s="64">
        <f t="shared" si="9"/>
        <v>0.242375</v>
      </c>
      <c r="J40" s="64"/>
      <c r="K40" s="163">
        <f>$C$39*K15</f>
        <v>0.375</v>
      </c>
      <c r="L40" s="163"/>
      <c r="M40" s="64"/>
      <c r="N40" s="64">
        <f t="shared" si="10"/>
        <v>0.375</v>
      </c>
      <c r="O40" s="64"/>
      <c r="P40" s="58"/>
    </row>
    <row r="41" spans="2:16" ht="12.75">
      <c r="B41" s="21" t="s">
        <v>211</v>
      </c>
      <c r="C41" s="149">
        <v>0.2</v>
      </c>
      <c r="D41" s="21" t="s">
        <v>163</v>
      </c>
      <c r="E41" s="149">
        <v>0.24</v>
      </c>
      <c r="F41" s="64">
        <f>+$C$41*F6</f>
        <v>2.8800000000000003</v>
      </c>
      <c r="G41" s="64">
        <f>+$C$41*G6</f>
        <v>1.848</v>
      </c>
      <c r="H41" s="64">
        <f>+$C$41*H6</f>
        <v>0.48</v>
      </c>
      <c r="I41" s="64">
        <f t="shared" si="9"/>
        <v>5.208</v>
      </c>
      <c r="J41" s="64">
        <f>+E41*'Selected Inputs'!$D$53</f>
        <v>3.5999999999999996</v>
      </c>
      <c r="K41" s="64">
        <f>+$C$41*K6</f>
        <v>1.8</v>
      </c>
      <c r="L41" s="64">
        <f>+$C$41*M6</f>
        <v>0.8</v>
      </c>
      <c r="M41" s="64">
        <f>+$C$41*N6</f>
        <v>2.07</v>
      </c>
      <c r="N41" s="64">
        <f t="shared" si="10"/>
        <v>8.27</v>
      </c>
      <c r="O41" s="64">
        <f t="shared" si="11"/>
        <v>14.634666666666666</v>
      </c>
      <c r="P41" s="58"/>
    </row>
    <row r="42" spans="3:16" ht="12.75">
      <c r="C42" s="149"/>
      <c r="D42" s="21" t="s">
        <v>167</v>
      </c>
      <c r="E42" s="149"/>
      <c r="F42" s="64">
        <f>+$C$41*F10</f>
        <v>0.30000000000000004</v>
      </c>
      <c r="G42" s="64">
        <f>+$C$41*G10</f>
        <v>0.2566666666666667</v>
      </c>
      <c r="H42" s="64">
        <f>+$C$41*H10</f>
        <v>0.06666666666666667</v>
      </c>
      <c r="I42" s="64">
        <f t="shared" si="9"/>
        <v>0.6233333333333334</v>
      </c>
      <c r="J42" s="64"/>
      <c r="K42" s="64">
        <f>+$C$41*K10</f>
        <v>0.5333333333333333</v>
      </c>
      <c r="L42" s="64"/>
      <c r="M42" s="64"/>
      <c r="N42" s="64">
        <f t="shared" si="10"/>
        <v>0.5333333333333333</v>
      </c>
      <c r="O42" s="64"/>
      <c r="P42" s="58"/>
    </row>
    <row r="43" spans="2:16" s="52" customFormat="1" ht="12.75">
      <c r="B43" s="52" t="s">
        <v>80</v>
      </c>
      <c r="C43" s="149">
        <v>0.04</v>
      </c>
      <c r="D43" s="52" t="s">
        <v>163</v>
      </c>
      <c r="E43" s="149">
        <v>0.04</v>
      </c>
      <c r="F43" s="67">
        <f>$C$43*F6</f>
        <v>0.5760000000000001</v>
      </c>
      <c r="G43" s="67">
        <f>$C$43*G6</f>
        <v>0.36960000000000004</v>
      </c>
      <c r="H43" s="67">
        <f>$C$43*H6</f>
        <v>0.096</v>
      </c>
      <c r="I43" s="64">
        <f t="shared" si="9"/>
        <v>1.0416</v>
      </c>
      <c r="J43" s="64">
        <f>+E43*'Selected Inputs'!$D$53</f>
        <v>0.6</v>
      </c>
      <c r="K43" s="67">
        <f>$C$43*K6</f>
        <v>0.36</v>
      </c>
      <c r="L43" s="64">
        <f>+$C$43*M6</f>
        <v>0.16</v>
      </c>
      <c r="M43" s="64">
        <f>+$C$43*N6</f>
        <v>0.414</v>
      </c>
      <c r="N43" s="64">
        <f t="shared" si="10"/>
        <v>1.5339999999999998</v>
      </c>
      <c r="O43" s="64">
        <f t="shared" si="11"/>
        <v>2.8126800000000003</v>
      </c>
      <c r="P43" s="58"/>
    </row>
    <row r="44" spans="3:16" s="52" customFormat="1" ht="12.75">
      <c r="C44" s="149"/>
      <c r="D44" s="52" t="s">
        <v>259</v>
      </c>
      <c r="E44" s="149"/>
      <c r="F44" s="67">
        <f>$C$43*F13</f>
        <v>0.0756</v>
      </c>
      <c r="G44" s="67">
        <f>$C$43*G13</f>
        <v>0.06468000000000002</v>
      </c>
      <c r="H44" s="67">
        <f>$C$43*H13</f>
        <v>0.0168</v>
      </c>
      <c r="I44" s="64">
        <f t="shared" si="9"/>
        <v>0.15708000000000003</v>
      </c>
      <c r="J44" s="64"/>
      <c r="K44" s="67">
        <f>$C$43*K13</f>
        <v>0.08</v>
      </c>
      <c r="L44" s="67"/>
      <c r="M44" s="67"/>
      <c r="N44" s="64">
        <f t="shared" si="10"/>
        <v>0.08</v>
      </c>
      <c r="O44" s="64"/>
      <c r="P44" s="58"/>
    </row>
    <row r="45" spans="2:16" s="52" customFormat="1" ht="12.75">
      <c r="B45" s="52" t="s">
        <v>211</v>
      </c>
      <c r="C45" s="149">
        <v>0.2</v>
      </c>
      <c r="D45" s="21" t="s">
        <v>163</v>
      </c>
      <c r="E45" s="149">
        <v>0.24</v>
      </c>
      <c r="F45" s="64">
        <f>+$C$45*F6</f>
        <v>2.8800000000000003</v>
      </c>
      <c r="G45" s="64">
        <f>+$C$45*G6</f>
        <v>1.848</v>
      </c>
      <c r="H45" s="64">
        <f>+$C$45*H6</f>
        <v>0.48</v>
      </c>
      <c r="I45" s="64">
        <f t="shared" si="9"/>
        <v>5.208</v>
      </c>
      <c r="J45" s="64">
        <f>+E45*'Selected Inputs'!$D$53</f>
        <v>3.5999999999999996</v>
      </c>
      <c r="K45" s="64">
        <f>+$C$45*K6</f>
        <v>1.8</v>
      </c>
      <c r="L45" s="64">
        <f>+$C$45*M6</f>
        <v>0.8</v>
      </c>
      <c r="M45" s="64">
        <f>+$C$45*N6</f>
        <v>2.07</v>
      </c>
      <c r="N45" s="64">
        <f t="shared" si="10"/>
        <v>8.27</v>
      </c>
      <c r="O45" s="64">
        <f t="shared" si="11"/>
        <v>14.634666666666666</v>
      </c>
      <c r="P45" s="58"/>
    </row>
    <row r="46" spans="3:16" s="52" customFormat="1" ht="12.75">
      <c r="C46" s="149"/>
      <c r="D46" s="21" t="s">
        <v>167</v>
      </c>
      <c r="E46" s="149"/>
      <c r="F46" s="67">
        <f>+$C$45*F10</f>
        <v>0.30000000000000004</v>
      </c>
      <c r="G46" s="67">
        <f>+$C$45*G10</f>
        <v>0.2566666666666667</v>
      </c>
      <c r="H46" s="67">
        <f>+$C$45*H10</f>
        <v>0.06666666666666667</v>
      </c>
      <c r="I46" s="64">
        <f t="shared" si="9"/>
        <v>0.6233333333333334</v>
      </c>
      <c r="J46" s="64"/>
      <c r="K46" s="67">
        <f>+$C$45*K10</f>
        <v>0.5333333333333333</v>
      </c>
      <c r="L46" s="67"/>
      <c r="M46" s="67"/>
      <c r="N46" s="64">
        <f t="shared" si="10"/>
        <v>0.5333333333333333</v>
      </c>
      <c r="O46" s="64"/>
      <c r="P46" s="58"/>
    </row>
    <row r="47" spans="2:16" s="52" customFormat="1" ht="12.75">
      <c r="B47" s="52" t="s">
        <v>211</v>
      </c>
      <c r="C47" s="149">
        <v>0.2</v>
      </c>
      <c r="D47" s="21" t="s">
        <v>163</v>
      </c>
      <c r="E47" s="149">
        <v>0.24</v>
      </c>
      <c r="F47" s="64">
        <f>+$C$47*F6</f>
        <v>2.8800000000000003</v>
      </c>
      <c r="G47" s="64">
        <f>+$C$47*G6</f>
        <v>1.848</v>
      </c>
      <c r="H47" s="64">
        <f>+$C$47*H6</f>
        <v>0.48</v>
      </c>
      <c r="I47" s="64">
        <f t="shared" si="9"/>
        <v>5.208</v>
      </c>
      <c r="J47" s="64">
        <f>+E47*'Selected Inputs'!$D$53</f>
        <v>3.5999999999999996</v>
      </c>
      <c r="K47" s="64">
        <f>+$C$47*K6</f>
        <v>1.8</v>
      </c>
      <c r="L47" s="64">
        <f>+$C$47*M6</f>
        <v>0.8</v>
      </c>
      <c r="M47" s="64">
        <f>+$C$47*N6</f>
        <v>2.07</v>
      </c>
      <c r="N47" s="64">
        <f t="shared" si="10"/>
        <v>8.27</v>
      </c>
      <c r="O47" s="64">
        <f t="shared" si="11"/>
        <v>14.634666666666666</v>
      </c>
      <c r="P47" s="58"/>
    </row>
    <row r="48" spans="3:16" s="52" customFormat="1" ht="12.75">
      <c r="C48" s="149"/>
      <c r="D48" s="21" t="s">
        <v>167</v>
      </c>
      <c r="E48" s="149"/>
      <c r="F48" s="67">
        <f>+$C$47*F10</f>
        <v>0.30000000000000004</v>
      </c>
      <c r="G48" s="67">
        <f>+$C$47*G10</f>
        <v>0.2566666666666667</v>
      </c>
      <c r="H48" s="67">
        <f>+$C$47*H10</f>
        <v>0.06666666666666667</v>
      </c>
      <c r="I48" s="64">
        <f t="shared" si="9"/>
        <v>0.6233333333333334</v>
      </c>
      <c r="J48" s="64"/>
      <c r="K48" s="67">
        <f>+$C$47*K10</f>
        <v>0.5333333333333333</v>
      </c>
      <c r="L48" s="67"/>
      <c r="M48" s="67"/>
      <c r="N48" s="64">
        <f t="shared" si="10"/>
        <v>0.5333333333333333</v>
      </c>
      <c r="O48" s="64"/>
      <c r="P48" s="58"/>
    </row>
    <row r="49" spans="2:16" s="52" customFormat="1" ht="12.75">
      <c r="B49" s="52" t="s">
        <v>81</v>
      </c>
      <c r="C49" s="149">
        <v>0.33</v>
      </c>
      <c r="D49" s="21" t="s">
        <v>163</v>
      </c>
      <c r="E49" s="149">
        <v>0.4</v>
      </c>
      <c r="F49" s="67">
        <f>$C$49*F6</f>
        <v>4.752000000000001</v>
      </c>
      <c r="G49" s="67">
        <f>$C$49*G6</f>
        <v>3.0492000000000004</v>
      </c>
      <c r="H49" s="67">
        <f>$C$49*H6</f>
        <v>0.792</v>
      </c>
      <c r="I49" s="64">
        <f t="shared" si="9"/>
        <v>8.593200000000001</v>
      </c>
      <c r="J49" s="64">
        <f>+E49*'Selected Inputs'!$D$53</f>
        <v>6</v>
      </c>
      <c r="K49" s="67">
        <f>$C49*K6</f>
        <v>2.97</v>
      </c>
      <c r="L49" s="67">
        <f>$C49*M6</f>
        <v>1.32</v>
      </c>
      <c r="M49" s="67">
        <f>$C49*N6</f>
        <v>3.4155</v>
      </c>
      <c r="N49" s="64">
        <f t="shared" si="10"/>
        <v>13.7055</v>
      </c>
      <c r="O49" s="64">
        <f t="shared" si="11"/>
        <v>26.51995</v>
      </c>
      <c r="P49" s="58"/>
    </row>
    <row r="50" spans="3:16" s="52" customFormat="1" ht="12.75">
      <c r="C50" s="149"/>
      <c r="D50" s="26" t="s">
        <v>169</v>
      </c>
      <c r="E50" s="149"/>
      <c r="F50" s="67">
        <f>$C$49*F12</f>
        <v>1.2375</v>
      </c>
      <c r="G50" s="67">
        <f>$C$49*G12</f>
        <v>1.0587500000000003</v>
      </c>
      <c r="H50" s="67">
        <f>$C$49*H12</f>
        <v>0.275</v>
      </c>
      <c r="I50" s="64">
        <f t="shared" si="9"/>
        <v>2.5712500000000005</v>
      </c>
      <c r="J50" s="64"/>
      <c r="K50" s="67">
        <f>$C49*K12</f>
        <v>1.6500000000000001</v>
      </c>
      <c r="L50" s="67"/>
      <c r="M50" s="67"/>
      <c r="N50" s="64">
        <f t="shared" si="10"/>
        <v>1.6500000000000001</v>
      </c>
      <c r="O50" s="64"/>
      <c r="P50" s="58"/>
    </row>
    <row r="51" spans="2:16" s="52" customFormat="1" ht="12.75">
      <c r="B51" s="21" t="s">
        <v>82</v>
      </c>
      <c r="C51" s="149">
        <v>1.6</v>
      </c>
      <c r="D51" s="21" t="s">
        <v>86</v>
      </c>
      <c r="E51" s="149"/>
      <c r="F51" s="64">
        <f aca="true" t="shared" si="13" ref="F51:H52">+$C51*F16</f>
        <v>6.092307692307692</v>
      </c>
      <c r="G51" s="64">
        <f t="shared" si="13"/>
        <v>1.563692307692308</v>
      </c>
      <c r="H51" s="64">
        <f t="shared" si="13"/>
        <v>0.40615384615384614</v>
      </c>
      <c r="I51" s="64">
        <f t="shared" si="9"/>
        <v>8.062153846153846</v>
      </c>
      <c r="J51" s="64"/>
      <c r="K51" s="64">
        <f>+$C51*K16</f>
        <v>1.846153846153846</v>
      </c>
      <c r="L51" s="64">
        <f>+$C51*M16</f>
        <v>4.800000000000001</v>
      </c>
      <c r="M51" s="64">
        <f>+$C51*N16</f>
        <v>15.455999999999998</v>
      </c>
      <c r="N51" s="64">
        <f t="shared" si="10"/>
        <v>22.102153846153843</v>
      </c>
      <c r="O51" s="64">
        <f>I51+N51</f>
        <v>30.164307692307688</v>
      </c>
      <c r="P51" s="58"/>
    </row>
    <row r="52" spans="3:16" s="52" customFormat="1" ht="12.75">
      <c r="C52" s="149">
        <v>1.8</v>
      </c>
      <c r="D52" s="52" t="s">
        <v>173</v>
      </c>
      <c r="E52" s="149">
        <v>1.98</v>
      </c>
      <c r="F52" s="67">
        <f t="shared" si="13"/>
        <v>4.5</v>
      </c>
      <c r="G52" s="67">
        <f t="shared" si="13"/>
        <v>1.5400000000000003</v>
      </c>
      <c r="H52" s="67">
        <f t="shared" si="13"/>
        <v>0.39999999999999997</v>
      </c>
      <c r="I52" s="64">
        <f t="shared" si="9"/>
        <v>6.44</v>
      </c>
      <c r="J52" s="64">
        <f>+E52*'Selected Inputs'!$D$53</f>
        <v>29.7</v>
      </c>
      <c r="K52" s="67">
        <f>+$C52*K17</f>
        <v>3</v>
      </c>
      <c r="L52" s="67">
        <f>+$C52*M17</f>
        <v>5.4</v>
      </c>
      <c r="M52" s="67">
        <f>+$C52*N17</f>
        <v>17.387999999999998</v>
      </c>
      <c r="N52" s="64">
        <f t="shared" si="10"/>
        <v>55.488</v>
      </c>
      <c r="O52" s="64">
        <f>I52+N52</f>
        <v>61.928</v>
      </c>
      <c r="P52" s="58"/>
    </row>
    <row r="53" spans="3:16" s="52" customFormat="1" ht="12.75">
      <c r="C53" s="149">
        <v>0.25</v>
      </c>
      <c r="D53" s="52" t="s">
        <v>170</v>
      </c>
      <c r="E53" s="149">
        <v>0.28</v>
      </c>
      <c r="F53" s="67">
        <f>+$C53*F14</f>
        <v>0.16071428571428573</v>
      </c>
      <c r="G53" s="67">
        <f>+$C53*G14</f>
        <v>0.04812500000000001</v>
      </c>
      <c r="H53" s="67">
        <f>+$C53*H14</f>
        <v>0.0125</v>
      </c>
      <c r="I53" s="64">
        <f t="shared" si="9"/>
        <v>0.22133928571428574</v>
      </c>
      <c r="J53" s="64">
        <f>+E53*'Selected Inputs'!$D$53</f>
        <v>4.2</v>
      </c>
      <c r="K53" s="67">
        <f>+$C53*K14</f>
        <v>0.05</v>
      </c>
      <c r="L53" s="67">
        <f>+$C53*M14</f>
        <v>1.25</v>
      </c>
      <c r="M53" s="67">
        <f>+$C53*N14</f>
        <v>4.0249999999999995</v>
      </c>
      <c r="N53" s="64">
        <f t="shared" si="10"/>
        <v>9.524999999999999</v>
      </c>
      <c r="O53" s="64">
        <f>I53+N53</f>
        <v>9.746339285714285</v>
      </c>
      <c r="P53" s="58"/>
    </row>
    <row r="54" spans="2:16" s="52" customFormat="1" ht="13.5" thickBot="1">
      <c r="B54" s="62" t="s">
        <v>83</v>
      </c>
      <c r="C54" s="62"/>
      <c r="D54" s="62"/>
      <c r="E54" s="62"/>
      <c r="F54" s="70">
        <f aca="true" t="shared" si="14" ref="F54:M54">+SUM(F29:F53)</f>
        <v>99.09633626373623</v>
      </c>
      <c r="G54" s="70">
        <f t="shared" si="14"/>
        <v>60.717530641025654</v>
      </c>
      <c r="H54" s="70">
        <f t="shared" si="14"/>
        <v>15.770787179487177</v>
      </c>
      <c r="I54" s="70">
        <f t="shared" si="14"/>
        <v>175.58465408424914</v>
      </c>
      <c r="J54" s="70">
        <f t="shared" si="14"/>
        <v>92.4</v>
      </c>
      <c r="K54" s="70">
        <f t="shared" si="14"/>
        <v>50.71915384615382</v>
      </c>
      <c r="L54" s="70">
        <f t="shared" si="14"/>
        <v>33.85</v>
      </c>
      <c r="M54" s="70">
        <f t="shared" si="14"/>
        <v>95.61962500000001</v>
      </c>
      <c r="N54" s="70">
        <f>+SUM(J54:M54)</f>
        <v>272.58877884615384</v>
      </c>
      <c r="O54" s="70">
        <f>I54+N54</f>
        <v>448.173432930403</v>
      </c>
      <c r="P54" s="58"/>
    </row>
    <row r="55" spans="2:16" ht="12.75">
      <c r="B55" s="21" t="s">
        <v>84</v>
      </c>
      <c r="P55" s="52"/>
    </row>
    <row r="56" spans="14:16" ht="12.75">
      <c r="N56" s="51"/>
      <c r="P56" s="52"/>
    </row>
  </sheetData>
  <sheetProtection sheet="1" objects="1" scenarios="1"/>
  <mergeCells count="3">
    <mergeCell ref="B2:H2"/>
    <mergeCell ref="C4:P4"/>
    <mergeCell ref="C18:P18"/>
  </mergeCells>
  <printOptions/>
  <pageMargins left="0.7" right="0.7" top="0.75" bottom="0.75" header="0.3" footer="0.3"/>
  <pageSetup fitToHeight="1" fitToWidth="1" horizontalDpi="600" verticalDpi="600" orientation="landscape" scale="55"/>
</worksheet>
</file>

<file path=xl/worksheets/sheet7.xml><?xml version="1.0" encoding="utf-8"?>
<worksheet xmlns="http://schemas.openxmlformats.org/spreadsheetml/2006/main" xmlns:r="http://schemas.openxmlformats.org/officeDocument/2006/relationships">
  <sheetPr>
    <pageSetUpPr fitToPage="1"/>
  </sheetPr>
  <dimension ref="B2:K76"/>
  <sheetViews>
    <sheetView showGridLines="0" zoomScale="80" zoomScaleNormal="80" zoomScalePageLayoutView="0" workbookViewId="0" topLeftCell="A1">
      <selection activeCell="A1" sqref="A1"/>
    </sheetView>
  </sheetViews>
  <sheetFormatPr defaultColWidth="9.140625" defaultRowHeight="15"/>
  <cols>
    <col min="1" max="1" width="5.7109375" style="21" customWidth="1"/>
    <col min="2" max="2" width="40.7109375" style="21" customWidth="1"/>
    <col min="3" max="4" width="15.8515625" style="21" customWidth="1"/>
    <col min="5" max="5" width="4.421875" style="195" customWidth="1"/>
    <col min="6" max="6" width="15.8515625" style="21" customWidth="1"/>
    <col min="7" max="7" width="15.8515625" style="196" customWidth="1"/>
    <col min="8" max="8" width="4.421875" style="26" customWidth="1"/>
    <col min="9" max="9" width="20.8515625" style="21" customWidth="1"/>
    <col min="10" max="10" width="11.8515625" style="21" customWidth="1"/>
    <col min="11" max="16384" width="9.140625" style="21" customWidth="1"/>
  </cols>
  <sheetData>
    <row r="2" spans="2:7" ht="18.75" customHeight="1">
      <c r="B2" s="248" t="s">
        <v>301</v>
      </c>
      <c r="C2" s="248"/>
      <c r="D2" s="248"/>
      <c r="E2" s="248"/>
      <c r="F2" s="248"/>
      <c r="G2" s="248"/>
    </row>
    <row r="3" spans="2:11" ht="36">
      <c r="B3" s="164"/>
      <c r="C3" s="165" t="s">
        <v>87</v>
      </c>
      <c r="D3" s="165" t="s">
        <v>88</v>
      </c>
      <c r="E3" s="166"/>
      <c r="F3" s="165" t="s">
        <v>141</v>
      </c>
      <c r="G3" s="167" t="s">
        <v>83</v>
      </c>
      <c r="I3" s="168" t="s">
        <v>68</v>
      </c>
      <c r="J3" s="169">
        <v>66</v>
      </c>
      <c r="K3" s="21" t="s">
        <v>69</v>
      </c>
    </row>
    <row r="4" spans="2:7" ht="18" customHeight="1">
      <c r="B4" s="170" t="s">
        <v>262</v>
      </c>
      <c r="C4" s="171"/>
      <c r="D4" s="172"/>
      <c r="E4" s="173"/>
      <c r="F4" s="171"/>
      <c r="G4" s="174"/>
    </row>
    <row r="5" spans="2:7" ht="18" customHeight="1">
      <c r="B5" s="24" t="s">
        <v>89</v>
      </c>
      <c r="C5" s="199"/>
      <c r="D5" s="175"/>
      <c r="E5" s="176"/>
      <c r="F5" s="206"/>
      <c r="G5" s="207">
        <f>SUM(F6:F8)</f>
        <v>179.18602500000003</v>
      </c>
    </row>
    <row r="6" spans="2:9" ht="15" customHeight="1">
      <c r="B6" s="47" t="s">
        <v>90</v>
      </c>
      <c r="C6" s="64"/>
      <c r="D6" s="175"/>
      <c r="E6" s="176"/>
      <c r="F6" s="200">
        <f>+'Int. Costs &amp; Depr. '!O29</f>
        <v>42.267825</v>
      </c>
      <c r="G6" s="207"/>
      <c r="I6" s="51"/>
    </row>
    <row r="7" spans="2:9" ht="15" customHeight="1">
      <c r="B7" s="47" t="s">
        <v>91</v>
      </c>
      <c r="C7" s="64"/>
      <c r="D7" s="175"/>
      <c r="E7" s="176"/>
      <c r="F7" s="200">
        <f>+'Int. Costs &amp; Depr. '!O31</f>
        <v>88.957875</v>
      </c>
      <c r="G7" s="207"/>
      <c r="I7" s="51"/>
    </row>
    <row r="8" spans="2:9" ht="15" customHeight="1">
      <c r="B8" s="47" t="s">
        <v>77</v>
      </c>
      <c r="C8" s="64"/>
      <c r="D8" s="175"/>
      <c r="E8" s="176"/>
      <c r="F8" s="200">
        <f>+'Int. Costs &amp; Depr. '!O33</f>
        <v>47.960325000000005</v>
      </c>
      <c r="G8" s="207"/>
      <c r="I8" s="51"/>
    </row>
    <row r="9" spans="2:9" ht="15" customHeight="1">
      <c r="B9" s="24" t="s">
        <v>92</v>
      </c>
      <c r="C9" s="199"/>
      <c r="D9" s="175"/>
      <c r="E9" s="176"/>
      <c r="F9" s="208"/>
      <c r="G9" s="207">
        <f>+SUM(F10:F11)</f>
        <v>154</v>
      </c>
      <c r="I9" s="51"/>
    </row>
    <row r="10" spans="2:9" ht="15" customHeight="1">
      <c r="B10" s="47" t="s">
        <v>93</v>
      </c>
      <c r="C10" s="64"/>
      <c r="D10" s="175"/>
      <c r="E10" s="176"/>
      <c r="F10" s="200">
        <f>+'Selected Inputs'!D46</f>
        <v>39</v>
      </c>
      <c r="G10" s="207"/>
      <c r="I10" s="51"/>
    </row>
    <row r="11" spans="2:9" ht="15" customHeight="1">
      <c r="B11" s="47" t="s">
        <v>94</v>
      </c>
      <c r="C11" s="64">
        <f>+'Selected Inputs'!D13</f>
        <v>114.99999999999999</v>
      </c>
      <c r="D11" s="169">
        <v>1</v>
      </c>
      <c r="E11" s="179" t="s">
        <v>132</v>
      </c>
      <c r="F11" s="200">
        <f>+C11*D11</f>
        <v>114.99999999999999</v>
      </c>
      <c r="G11" s="207"/>
      <c r="I11" s="51"/>
    </row>
    <row r="12" spans="2:9" ht="18" customHeight="1">
      <c r="B12" s="24" t="s">
        <v>95</v>
      </c>
      <c r="C12" s="199"/>
      <c r="D12" s="175"/>
      <c r="E12" s="176"/>
      <c r="F12" s="208"/>
      <c r="G12" s="207">
        <f>SUM(F13:F18)</f>
        <v>209.65499999999997</v>
      </c>
      <c r="I12" s="51"/>
    </row>
    <row r="13" spans="2:9" ht="12.75">
      <c r="B13" s="47" t="s">
        <v>96</v>
      </c>
      <c r="C13" s="199"/>
      <c r="D13" s="175"/>
      <c r="E13" s="176"/>
      <c r="F13" s="202">
        <f>+'Selected Inputs'!D38</f>
        <v>8.75</v>
      </c>
      <c r="G13" s="207"/>
      <c r="I13" s="51"/>
    </row>
    <row r="14" spans="2:9" ht="12.75">
      <c r="B14" s="47" t="s">
        <v>263</v>
      </c>
      <c r="C14" s="200">
        <f>+'Selected Inputs'!D14</f>
        <v>0.575</v>
      </c>
      <c r="D14" s="169">
        <v>100</v>
      </c>
      <c r="E14" s="179" t="s">
        <v>133</v>
      </c>
      <c r="F14" s="202">
        <f>+C14*D14</f>
        <v>57.49999999999999</v>
      </c>
      <c r="G14" s="209"/>
      <c r="I14" s="51"/>
    </row>
    <row r="15" spans="2:9" ht="12.75">
      <c r="B15" s="47" t="s">
        <v>249</v>
      </c>
      <c r="C15" s="200">
        <f>+'Selected Inputs'!D19</f>
        <v>0.48299999999999993</v>
      </c>
      <c r="D15" s="169">
        <v>80</v>
      </c>
      <c r="E15" s="179" t="s">
        <v>133</v>
      </c>
      <c r="F15" s="202">
        <f>+C15*D15</f>
        <v>38.63999999999999</v>
      </c>
      <c r="G15" s="209"/>
      <c r="I15" s="180"/>
    </row>
    <row r="16" spans="2:9" ht="12.75">
      <c r="B16" s="47" t="s">
        <v>250</v>
      </c>
      <c r="C16" s="200">
        <f>+'Selected Inputs'!D26</f>
        <v>0.161</v>
      </c>
      <c r="D16" s="169">
        <v>40</v>
      </c>
      <c r="E16" s="179" t="s">
        <v>133</v>
      </c>
      <c r="F16" s="202">
        <f>+C16*D16</f>
        <v>6.44</v>
      </c>
      <c r="G16" s="209"/>
      <c r="I16" s="180"/>
    </row>
    <row r="17" spans="2:9" ht="12.75">
      <c r="B17" s="47" t="s">
        <v>251</v>
      </c>
      <c r="C17" s="200">
        <f>+'Selected Inputs'!D20</f>
        <v>0.5175</v>
      </c>
      <c r="D17" s="169">
        <v>150</v>
      </c>
      <c r="E17" s="179" t="s">
        <v>133</v>
      </c>
      <c r="F17" s="202">
        <f>+C17*D17</f>
        <v>77.625</v>
      </c>
      <c r="G17" s="209"/>
      <c r="I17" s="180"/>
    </row>
    <row r="18" spans="2:9" ht="12.75">
      <c r="B18" s="47" t="s">
        <v>252</v>
      </c>
      <c r="C18" s="200">
        <f>+'Selected Inputs'!D31</f>
        <v>4.14</v>
      </c>
      <c r="D18" s="169">
        <v>5</v>
      </c>
      <c r="E18" s="179" t="s">
        <v>133</v>
      </c>
      <c r="F18" s="202">
        <f>+C18*D18</f>
        <v>20.7</v>
      </c>
      <c r="G18" s="209"/>
      <c r="I18" s="180"/>
    </row>
    <row r="19" spans="2:9" ht="12.75">
      <c r="B19" s="24" t="s">
        <v>97</v>
      </c>
      <c r="C19" s="200"/>
      <c r="D19" s="169"/>
      <c r="E19" s="179"/>
      <c r="F19" s="65"/>
      <c r="G19" s="203">
        <f>+'Int. Costs &amp; Depr. '!O35</f>
        <v>68.61375000000001</v>
      </c>
      <c r="I19" s="180"/>
    </row>
    <row r="20" spans="2:9" ht="18" customHeight="1">
      <c r="B20" s="24" t="s">
        <v>264</v>
      </c>
      <c r="C20" s="199"/>
      <c r="D20" s="175"/>
      <c r="E20" s="176"/>
      <c r="F20" s="210"/>
      <c r="G20" s="207">
        <f>+SUM(F21:F22)</f>
        <v>600</v>
      </c>
      <c r="I20" s="180"/>
    </row>
    <row r="21" spans="2:7" ht="12.75">
      <c r="B21" s="47" t="s">
        <v>98</v>
      </c>
      <c r="C21" s="200"/>
      <c r="D21" s="178"/>
      <c r="E21" s="179"/>
      <c r="F21" s="202">
        <f>+'Selected Inputs'!D41</f>
        <v>150</v>
      </c>
      <c r="G21" s="209"/>
    </row>
    <row r="22" spans="2:7" ht="12.75">
      <c r="B22" s="47" t="s">
        <v>99</v>
      </c>
      <c r="C22" s="201"/>
      <c r="D22" s="182"/>
      <c r="E22" s="179"/>
      <c r="F22" s="202">
        <f>+'Selected Inputs'!D58</f>
        <v>450</v>
      </c>
      <c r="G22" s="209"/>
    </row>
    <row r="23" spans="2:7" ht="18" customHeight="1">
      <c r="B23" s="24" t="s">
        <v>100</v>
      </c>
      <c r="C23" s="199"/>
      <c r="D23" s="175"/>
      <c r="E23" s="176"/>
      <c r="F23" s="208"/>
      <c r="G23" s="207">
        <f>+SUM(F24:F27)</f>
        <v>79.2875</v>
      </c>
    </row>
    <row r="24" spans="2:7" ht="12.75">
      <c r="B24" s="47" t="s">
        <v>101</v>
      </c>
      <c r="C24" s="200"/>
      <c r="D24" s="169"/>
      <c r="E24" s="179"/>
      <c r="F24" s="202">
        <f>+'Selected Inputs'!D39</f>
        <v>10</v>
      </c>
      <c r="G24" s="209"/>
    </row>
    <row r="25" spans="2:7" ht="12.75">
      <c r="B25" s="47" t="s">
        <v>102</v>
      </c>
      <c r="C25" s="200">
        <f>+'Selected Inputs'!D24</f>
        <v>41.4</v>
      </c>
      <c r="D25" s="169">
        <v>0.75</v>
      </c>
      <c r="E25" s="179" t="s">
        <v>133</v>
      </c>
      <c r="F25" s="202">
        <f>+C25*D25</f>
        <v>31.049999999999997</v>
      </c>
      <c r="G25" s="209"/>
    </row>
    <row r="26" spans="2:7" ht="12.75">
      <c r="B26" s="47" t="s">
        <v>103</v>
      </c>
      <c r="C26" s="200">
        <f>('Selected Inputs'!D8)/16</f>
        <v>6.8999999999999995</v>
      </c>
      <c r="D26" s="169">
        <v>4</v>
      </c>
      <c r="E26" s="179" t="s">
        <v>134</v>
      </c>
      <c r="F26" s="202">
        <f>+C26*D26</f>
        <v>27.599999999999998</v>
      </c>
      <c r="G26" s="209"/>
    </row>
    <row r="27" spans="2:9" ht="12.75">
      <c r="B27" s="47" t="s">
        <v>104</v>
      </c>
      <c r="C27" s="200">
        <f>('Selected Inputs'!D21)/8</f>
        <v>5.31875</v>
      </c>
      <c r="D27" s="169">
        <v>2</v>
      </c>
      <c r="E27" s="179" t="s">
        <v>135</v>
      </c>
      <c r="F27" s="202">
        <f>+C27*D27</f>
        <v>10.6375</v>
      </c>
      <c r="G27" s="209"/>
      <c r="I27" s="180"/>
    </row>
    <row r="28" spans="2:7" ht="18" customHeight="1">
      <c r="B28" s="24" t="s">
        <v>286</v>
      </c>
      <c r="C28" s="200"/>
      <c r="D28" s="169"/>
      <c r="E28" s="179"/>
      <c r="F28" s="65"/>
      <c r="G28" s="207">
        <f>+'Int. Costs &amp; Depr. '!O37</f>
        <v>14.634666666666666</v>
      </c>
    </row>
    <row r="29" spans="2:7" ht="18" customHeight="1">
      <c r="B29" s="24" t="s">
        <v>105</v>
      </c>
      <c r="C29" s="200"/>
      <c r="D29" s="169"/>
      <c r="E29" s="179"/>
      <c r="F29" s="65"/>
      <c r="G29" s="207">
        <f>+'Int. Costs &amp; Depr. '!O45</f>
        <v>14.634666666666666</v>
      </c>
    </row>
    <row r="30" spans="2:7" ht="18" customHeight="1">
      <c r="B30" s="24" t="s">
        <v>106</v>
      </c>
      <c r="C30" s="200"/>
      <c r="D30" s="169"/>
      <c r="E30" s="179"/>
      <c r="F30" s="202"/>
      <c r="G30" s="207">
        <f>+SUM(F31:F34)</f>
        <v>160.2632157142857</v>
      </c>
    </row>
    <row r="31" spans="2:7" ht="12.75">
      <c r="B31" s="47" t="s">
        <v>80</v>
      </c>
      <c r="C31" s="200"/>
      <c r="D31" s="169"/>
      <c r="E31" s="179"/>
      <c r="F31" s="202">
        <f>+'Int. Costs &amp; Depr. '!O43</f>
        <v>2.8126800000000003</v>
      </c>
      <c r="G31" s="209"/>
    </row>
    <row r="32" spans="2:7" ht="12.75">
      <c r="B32" s="47" t="s">
        <v>176</v>
      </c>
      <c r="C32" s="200"/>
      <c r="D32" s="169"/>
      <c r="E32" s="179"/>
      <c r="F32" s="202">
        <f>+'Int. Costs &amp; Depr. '!P20</f>
        <v>7.450535714285715</v>
      </c>
      <c r="G32" s="209"/>
    </row>
    <row r="33" spans="2:7" ht="12.75">
      <c r="B33" s="47" t="s">
        <v>238</v>
      </c>
      <c r="C33" s="200"/>
      <c r="D33" s="169"/>
      <c r="E33" s="179"/>
      <c r="F33" s="202">
        <f>+'Selected Inputs'!D51</f>
        <v>75</v>
      </c>
      <c r="G33" s="209"/>
    </row>
    <row r="34" spans="2:8" ht="12.75">
      <c r="B34" s="47" t="s">
        <v>107</v>
      </c>
      <c r="C34" s="200"/>
      <c r="D34" s="169"/>
      <c r="E34" s="179"/>
      <c r="F34" s="202">
        <f>+'Selected Inputs'!D37</f>
        <v>75</v>
      </c>
      <c r="G34" s="209"/>
      <c r="H34" s="183"/>
    </row>
    <row r="35" spans="2:8" ht="18" customHeight="1">
      <c r="B35" s="24" t="s">
        <v>108</v>
      </c>
      <c r="C35" s="200"/>
      <c r="D35" s="184"/>
      <c r="E35" s="179"/>
      <c r="F35" s="202"/>
      <c r="G35" s="207">
        <f>+SUM(F36:F37)</f>
        <v>16.76142857142857</v>
      </c>
      <c r="H35" s="183"/>
    </row>
    <row r="36" spans="2:8" ht="12.75">
      <c r="B36" s="47" t="s">
        <v>109</v>
      </c>
      <c r="C36" s="200"/>
      <c r="D36" s="184"/>
      <c r="E36" s="179"/>
      <c r="F36" s="202">
        <f>+'Int. Costs &amp; Depr. '!P19</f>
        <v>0.7614285714285715</v>
      </c>
      <c r="G36" s="209"/>
      <c r="H36" s="183"/>
    </row>
    <row r="37" spans="2:8" ht="12.75">
      <c r="B37" s="47" t="s">
        <v>285</v>
      </c>
      <c r="C37" s="202">
        <f>+'Selected Inputs'!D18</f>
        <v>4</v>
      </c>
      <c r="D37" s="184">
        <v>4</v>
      </c>
      <c r="E37" s="179" t="s">
        <v>133</v>
      </c>
      <c r="F37" s="64">
        <f>+C37*D37</f>
        <v>16</v>
      </c>
      <c r="G37" s="209"/>
      <c r="H37" s="183"/>
    </row>
    <row r="38" spans="2:8" ht="18" customHeight="1">
      <c r="B38" s="24" t="s">
        <v>110</v>
      </c>
      <c r="C38" s="200"/>
      <c r="D38" s="184"/>
      <c r="E38" s="179"/>
      <c r="F38" s="202"/>
      <c r="G38" s="207">
        <f>+SUM(F39:F42)</f>
        <v>64.4453125</v>
      </c>
      <c r="H38" s="183"/>
    </row>
    <row r="39" spans="2:8" ht="12.75">
      <c r="B39" s="47" t="s">
        <v>101</v>
      </c>
      <c r="C39" s="200"/>
      <c r="D39" s="177"/>
      <c r="E39" s="179"/>
      <c r="F39" s="202">
        <f>+'Selected Inputs'!D39</f>
        <v>10</v>
      </c>
      <c r="G39" s="209"/>
      <c r="H39" s="183"/>
    </row>
    <row r="40" spans="2:7" ht="12.75">
      <c r="B40" s="47" t="s">
        <v>265</v>
      </c>
      <c r="C40" s="200">
        <f>+'Selected Inputs'!D24</f>
        <v>41.4</v>
      </c>
      <c r="D40" s="169">
        <v>1</v>
      </c>
      <c r="E40" s="179" t="s">
        <v>133</v>
      </c>
      <c r="F40" s="202">
        <f>+C40*D40</f>
        <v>41.4</v>
      </c>
      <c r="G40" s="209"/>
    </row>
    <row r="41" spans="2:7" ht="12.75">
      <c r="B41" s="47" t="s">
        <v>111</v>
      </c>
      <c r="C41" s="200">
        <f>('Selected Inputs'!D23)/128</f>
        <v>0.98828125</v>
      </c>
      <c r="D41" s="177">
        <v>10</v>
      </c>
      <c r="E41" s="179" t="s">
        <v>134</v>
      </c>
      <c r="F41" s="202">
        <f>+C41*D41</f>
        <v>9.8828125</v>
      </c>
      <c r="G41" s="209"/>
    </row>
    <row r="42" spans="2:8" ht="12.75">
      <c r="B42" s="47" t="s">
        <v>112</v>
      </c>
      <c r="C42" s="200">
        <f>('Selected Inputs'!D9)/4</f>
        <v>3.1625</v>
      </c>
      <c r="D42" s="177">
        <v>1</v>
      </c>
      <c r="E42" s="179" t="s">
        <v>136</v>
      </c>
      <c r="F42" s="202">
        <f>+C42*D42</f>
        <v>3.1625</v>
      </c>
      <c r="G42" s="209"/>
      <c r="H42" s="185"/>
    </row>
    <row r="43" spans="2:7" ht="18" customHeight="1">
      <c r="B43" s="186" t="s">
        <v>113</v>
      </c>
      <c r="C43" s="203"/>
      <c r="D43" s="181"/>
      <c r="E43" s="176"/>
      <c r="F43" s="203"/>
      <c r="G43" s="211">
        <f>+F44</f>
        <v>12</v>
      </c>
    </row>
    <row r="44" spans="2:8" ht="12.75">
      <c r="B44" s="47" t="s">
        <v>114</v>
      </c>
      <c r="C44" s="200"/>
      <c r="D44" s="177"/>
      <c r="E44" s="179"/>
      <c r="F44" s="202">
        <f>+'Selected Inputs'!D43</f>
        <v>12</v>
      </c>
      <c r="G44" s="209"/>
      <c r="H44" s="183"/>
    </row>
    <row r="45" spans="2:7" ht="18" customHeight="1">
      <c r="B45" s="24" t="s">
        <v>105</v>
      </c>
      <c r="C45" s="200"/>
      <c r="D45" s="169"/>
      <c r="E45" s="179"/>
      <c r="F45" s="202"/>
      <c r="G45" s="207">
        <f>+'Int. Costs &amp; Depr. '!O41</f>
        <v>14.634666666666666</v>
      </c>
    </row>
    <row r="46" spans="2:7" ht="18" customHeight="1">
      <c r="B46" s="24" t="s">
        <v>115</v>
      </c>
      <c r="C46" s="200"/>
      <c r="D46" s="169"/>
      <c r="E46" s="179"/>
      <c r="F46" s="202"/>
      <c r="G46" s="207">
        <f>+SUM(F47:F48)</f>
        <v>49.7828125</v>
      </c>
    </row>
    <row r="47" spans="2:8" ht="12.75">
      <c r="B47" s="47" t="s">
        <v>101</v>
      </c>
      <c r="C47" s="200"/>
      <c r="D47" s="177"/>
      <c r="E47" s="179"/>
      <c r="F47" s="202">
        <f>+'Selected Inputs'!D39</f>
        <v>10</v>
      </c>
      <c r="G47" s="209"/>
      <c r="H47" s="183"/>
    </row>
    <row r="48" spans="2:8" ht="12.75">
      <c r="B48" s="47" t="s">
        <v>116</v>
      </c>
      <c r="C48" s="200">
        <f>('Selected Inputs'!D17)/128</f>
        <v>3.3152343749999997</v>
      </c>
      <c r="D48" s="177">
        <v>12</v>
      </c>
      <c r="E48" s="179" t="s">
        <v>134</v>
      </c>
      <c r="F48" s="202">
        <f>+C48*D48</f>
        <v>39.7828125</v>
      </c>
      <c r="G48" s="209"/>
      <c r="H48" s="183"/>
    </row>
    <row r="49" spans="2:7" ht="18" customHeight="1">
      <c r="B49" s="24" t="s">
        <v>117</v>
      </c>
      <c r="C49" s="200"/>
      <c r="D49" s="169"/>
      <c r="E49" s="179"/>
      <c r="F49" s="202"/>
      <c r="G49" s="207">
        <f>+SUM(F50:F51)</f>
        <v>56.625</v>
      </c>
    </row>
    <row r="50" spans="2:7" ht="12.75">
      <c r="B50" s="47" t="s">
        <v>118</v>
      </c>
      <c r="C50" s="200"/>
      <c r="D50" s="182"/>
      <c r="E50" s="179"/>
      <c r="F50" s="202">
        <f>+'Selected Inputs'!D36</f>
        <v>13.5</v>
      </c>
      <c r="G50" s="209"/>
    </row>
    <row r="51" spans="2:7" ht="18" customHeight="1">
      <c r="B51" s="47" t="s">
        <v>263</v>
      </c>
      <c r="C51" s="200">
        <f>+'Selected Inputs'!D14</f>
        <v>0.575</v>
      </c>
      <c r="D51" s="169">
        <v>75</v>
      </c>
      <c r="E51" s="179" t="s">
        <v>133</v>
      </c>
      <c r="F51" s="202">
        <f>+C51*D51</f>
        <v>43.125</v>
      </c>
      <c r="G51" s="209"/>
    </row>
    <row r="52" spans="2:11" s="26" customFormat="1" ht="18" customHeight="1">
      <c r="B52" s="187" t="s">
        <v>119</v>
      </c>
      <c r="C52" s="204"/>
      <c r="D52" s="184"/>
      <c r="E52" s="188"/>
      <c r="F52" s="212"/>
      <c r="G52" s="213">
        <f>+SUM(F53:F55)*0.1</f>
        <v>4.956625</v>
      </c>
      <c r="I52" s="21"/>
      <c r="J52" s="21"/>
      <c r="K52" s="21"/>
    </row>
    <row r="53" spans="2:11" s="26" customFormat="1" ht="12.75">
      <c r="B53" s="189" t="s">
        <v>120</v>
      </c>
      <c r="C53" s="204"/>
      <c r="D53" s="190"/>
      <c r="E53" s="188"/>
      <c r="F53" s="212">
        <f>+'Selected Inputs'!D35</f>
        <v>9</v>
      </c>
      <c r="G53" s="214"/>
      <c r="I53" s="21"/>
      <c r="J53" s="21"/>
      <c r="K53" s="21"/>
    </row>
    <row r="54" spans="2:11" s="26" customFormat="1" ht="12.75">
      <c r="B54" s="189" t="s">
        <v>121</v>
      </c>
      <c r="C54" s="204">
        <f>+'Selected Inputs'!D6</f>
        <v>40.25</v>
      </c>
      <c r="D54" s="184">
        <v>1</v>
      </c>
      <c r="E54" s="188" t="s">
        <v>133</v>
      </c>
      <c r="F54" s="212">
        <f>+C54*D54</f>
        <v>40.25</v>
      </c>
      <c r="G54" s="214"/>
      <c r="I54" s="21"/>
      <c r="J54" s="21"/>
      <c r="K54" s="21"/>
    </row>
    <row r="55" spans="2:11" s="26" customFormat="1" ht="12.75">
      <c r="B55" s="189" t="s">
        <v>122</v>
      </c>
      <c r="C55" s="204">
        <f>('Selected Inputs'!D15)/128</f>
        <v>0.09882812499999999</v>
      </c>
      <c r="D55" s="184">
        <v>3.2</v>
      </c>
      <c r="E55" s="188" t="s">
        <v>134</v>
      </c>
      <c r="F55" s="212">
        <f>+C55*D55</f>
        <v>0.31625</v>
      </c>
      <c r="G55" s="214"/>
      <c r="I55" s="21"/>
      <c r="J55" s="21"/>
      <c r="K55" s="21"/>
    </row>
    <row r="56" spans="2:7" ht="18" customHeight="1">
      <c r="B56" s="24" t="s">
        <v>267</v>
      </c>
      <c r="C56" s="200"/>
      <c r="D56" s="169"/>
      <c r="E56" s="179"/>
      <c r="F56" s="202"/>
      <c r="G56" s="207">
        <f>+F57</f>
        <v>35</v>
      </c>
    </row>
    <row r="57" spans="2:7" ht="12.75">
      <c r="B57" s="47" t="s">
        <v>123</v>
      </c>
      <c r="C57" s="200"/>
      <c r="D57" s="169"/>
      <c r="E57" s="179"/>
      <c r="F57" s="202">
        <f>+'Selected Inputs'!D60</f>
        <v>35</v>
      </c>
      <c r="G57" s="209"/>
    </row>
    <row r="58" spans="2:7" ht="18" customHeight="1">
      <c r="B58" s="24" t="s">
        <v>124</v>
      </c>
      <c r="C58" s="200"/>
      <c r="D58" s="169"/>
      <c r="E58" s="179"/>
      <c r="F58" s="202"/>
      <c r="G58" s="207">
        <f>SUM(F59:F61)*0.3</f>
        <v>5.813625</v>
      </c>
    </row>
    <row r="59" spans="2:7" ht="12.75">
      <c r="B59" s="47" t="s">
        <v>120</v>
      </c>
      <c r="C59" s="200"/>
      <c r="D59" s="169"/>
      <c r="E59" s="179"/>
      <c r="F59" s="202">
        <f>+'Selected Inputs'!D35</f>
        <v>9</v>
      </c>
      <c r="G59" s="209"/>
    </row>
    <row r="60" spans="2:7" ht="12.75">
      <c r="B60" s="47" t="s">
        <v>17</v>
      </c>
      <c r="C60" s="200">
        <f>+'Selected Inputs'!D16</f>
        <v>10.0625</v>
      </c>
      <c r="D60" s="169">
        <v>1</v>
      </c>
      <c r="E60" s="179" t="s">
        <v>133</v>
      </c>
      <c r="F60" s="202">
        <f>+C60*D60</f>
        <v>10.0625</v>
      </c>
      <c r="G60" s="209"/>
    </row>
    <row r="61" spans="2:7" ht="12.75">
      <c r="B61" s="47" t="s">
        <v>122</v>
      </c>
      <c r="C61" s="200">
        <f>('Selected Inputs'!D15)/128</f>
        <v>0.09882812499999999</v>
      </c>
      <c r="D61" s="169">
        <v>3.2</v>
      </c>
      <c r="E61" s="179" t="s">
        <v>134</v>
      </c>
      <c r="F61" s="202">
        <f>+C61*D61</f>
        <v>0.31625</v>
      </c>
      <c r="G61" s="209"/>
    </row>
    <row r="62" spans="2:7" ht="18" customHeight="1">
      <c r="B62" s="24" t="s">
        <v>125</v>
      </c>
      <c r="C62" s="200"/>
      <c r="D62" s="169"/>
      <c r="E62" s="179"/>
      <c r="F62" s="202"/>
      <c r="G62" s="207">
        <f>+F63</f>
        <v>297</v>
      </c>
    </row>
    <row r="63" spans="2:7" ht="18" customHeight="1">
      <c r="B63" s="47" t="s">
        <v>213</v>
      </c>
      <c r="C63" s="200">
        <f>+'Selected Inputs'!D40</f>
        <v>4.5</v>
      </c>
      <c r="D63" s="219">
        <f>$J$3</f>
        <v>66</v>
      </c>
      <c r="E63" s="179" t="s">
        <v>133</v>
      </c>
      <c r="F63" s="215">
        <f>+C63*D63</f>
        <v>297</v>
      </c>
      <c r="G63" s="209"/>
    </row>
    <row r="64" spans="2:7" ht="18" customHeight="1">
      <c r="B64" s="24" t="s">
        <v>126</v>
      </c>
      <c r="C64" s="200">
        <f>+'Selected Inputs'!D55</f>
        <v>0.15</v>
      </c>
      <c r="D64" s="219">
        <f>$J$3</f>
        <v>66</v>
      </c>
      <c r="E64" s="179" t="s">
        <v>133</v>
      </c>
      <c r="F64" s="202">
        <f>+C64*D64</f>
        <v>9.9</v>
      </c>
      <c r="G64" s="207">
        <f>+F64</f>
        <v>9.9</v>
      </c>
    </row>
    <row r="65" spans="2:7" ht="18" customHeight="1">
      <c r="B65" s="24" t="s">
        <v>127</v>
      </c>
      <c r="C65" s="200"/>
      <c r="D65" s="169"/>
      <c r="E65" s="179"/>
      <c r="F65" s="202"/>
      <c r="G65" s="207">
        <f>+'Selected Inputs'!D56</f>
        <v>20</v>
      </c>
    </row>
    <row r="66" spans="2:7" ht="18" customHeight="1">
      <c r="B66" s="24" t="s">
        <v>128</v>
      </c>
      <c r="C66" s="200"/>
      <c r="D66" s="169"/>
      <c r="E66" s="179"/>
      <c r="F66" s="202"/>
      <c r="G66" s="207">
        <f>+'Int. Costs &amp; Depr. '!O45</f>
        <v>14.634666666666666</v>
      </c>
    </row>
    <row r="67" spans="2:7" ht="18" customHeight="1">
      <c r="B67" s="24" t="s">
        <v>82</v>
      </c>
      <c r="C67" s="200"/>
      <c r="D67" s="169"/>
      <c r="E67" s="179"/>
      <c r="F67" s="202"/>
      <c r="G67" s="207">
        <f>+SUM(F68:F70)</f>
        <v>101.83864697802197</v>
      </c>
    </row>
    <row r="68" spans="2:7" ht="18" customHeight="1">
      <c r="B68" s="47" t="s">
        <v>86</v>
      </c>
      <c r="C68" s="64"/>
      <c r="D68" s="51"/>
      <c r="E68" s="179"/>
      <c r="F68" s="215">
        <f>+'Int. Costs &amp; Depr. '!O51</f>
        <v>30.164307692307688</v>
      </c>
      <c r="G68" s="216"/>
    </row>
    <row r="69" spans="2:7" ht="18" customHeight="1">
      <c r="B69" s="47" t="s">
        <v>173</v>
      </c>
      <c r="C69" s="64"/>
      <c r="D69" s="51"/>
      <c r="E69" s="179"/>
      <c r="F69" s="215">
        <f>+'Int. Costs &amp; Depr. '!O52</f>
        <v>61.928</v>
      </c>
      <c r="G69" s="216"/>
    </row>
    <row r="70" spans="2:7" ht="18" customHeight="1">
      <c r="B70" s="47" t="s">
        <v>170</v>
      </c>
      <c r="C70" s="64"/>
      <c r="D70" s="51"/>
      <c r="E70" s="179"/>
      <c r="F70" s="215">
        <f>+'Int. Costs &amp; Depr. '!O53</f>
        <v>9.746339285714285</v>
      </c>
      <c r="G70" s="216"/>
    </row>
    <row r="71" spans="2:7" ht="18" customHeight="1">
      <c r="B71" s="24" t="s">
        <v>129</v>
      </c>
      <c r="C71" s="200"/>
      <c r="D71" s="169"/>
      <c r="E71" s="179"/>
      <c r="F71" s="202"/>
      <c r="G71" s="207">
        <f>0.03*(SUM(G5:G67))</f>
        <v>65.51002823791208</v>
      </c>
    </row>
    <row r="72" spans="2:7" ht="18" customHeight="1">
      <c r="B72" s="24" t="s">
        <v>261</v>
      </c>
      <c r="C72" s="200"/>
      <c r="D72" s="169"/>
      <c r="E72" s="179"/>
      <c r="F72" s="202"/>
      <c r="G72" s="207">
        <f>+'Selected Inputs'!D52</f>
        <v>310</v>
      </c>
    </row>
    <row r="73" spans="2:7" ht="18" customHeight="1">
      <c r="B73" s="24" t="s">
        <v>277</v>
      </c>
      <c r="C73" s="200"/>
      <c r="D73" s="169"/>
      <c r="E73" s="179"/>
      <c r="F73" s="202"/>
      <c r="G73" s="207">
        <f>+'Selected Inputs'!D54</f>
        <v>100</v>
      </c>
    </row>
    <row r="74" spans="2:7" ht="18" customHeight="1" thickBot="1">
      <c r="B74" s="61" t="s">
        <v>217</v>
      </c>
      <c r="C74" s="205"/>
      <c r="D74" s="191"/>
      <c r="E74" s="192"/>
      <c r="F74" s="217"/>
      <c r="G74" s="218">
        <f>+'Selected Inputs'!D49</f>
        <v>14</v>
      </c>
    </row>
    <row r="75" spans="2:11" s="52" customFormat="1" ht="12.75">
      <c r="B75" s="52" t="s">
        <v>130</v>
      </c>
      <c r="C75" s="58"/>
      <c r="D75" s="58"/>
      <c r="E75" s="193"/>
      <c r="F75" s="58"/>
      <c r="G75" s="194"/>
      <c r="H75" s="26"/>
      <c r="I75" s="21"/>
      <c r="J75" s="21"/>
      <c r="K75" s="21"/>
    </row>
    <row r="76" ht="12.75">
      <c r="B76" s="21" t="s">
        <v>131</v>
      </c>
    </row>
  </sheetData>
  <sheetProtection sheet="1" objects="1" scenarios="1"/>
  <mergeCells count="1">
    <mergeCell ref="B2:G2"/>
  </mergeCells>
  <printOptions/>
  <pageMargins left="0.7" right="0.7" top="0.75" bottom="0.75" header="0.3" footer="0.3"/>
  <pageSetup fitToHeight="1" fitToWidth="1" horizontalDpi="600" verticalDpi="600" orientation="portrait" scale="56"/>
</worksheet>
</file>

<file path=xl/worksheets/sheet8.xml><?xml version="1.0" encoding="utf-8"?>
<worksheet xmlns="http://schemas.openxmlformats.org/spreadsheetml/2006/main" xmlns:r="http://schemas.openxmlformats.org/officeDocument/2006/relationships">
  <sheetPr>
    <pageSetUpPr fitToPage="1"/>
  </sheetPr>
  <dimension ref="B2:K73"/>
  <sheetViews>
    <sheetView showGridLines="0" zoomScale="80" zoomScaleNormal="80" zoomScalePageLayoutView="0" workbookViewId="0" topLeftCell="A1">
      <selection activeCell="A1" sqref="A1"/>
    </sheetView>
  </sheetViews>
  <sheetFormatPr defaultColWidth="9.140625" defaultRowHeight="15"/>
  <cols>
    <col min="1" max="1" width="5.7109375" style="21" customWidth="1"/>
    <col min="2" max="2" width="40.7109375" style="21" customWidth="1"/>
    <col min="3" max="4" width="15.8515625" style="21" customWidth="1"/>
    <col min="5" max="5" width="4.421875" style="195" customWidth="1"/>
    <col min="6" max="6" width="15.8515625" style="21" customWidth="1"/>
    <col min="7" max="7" width="15.8515625" style="196" customWidth="1"/>
    <col min="8" max="8" width="4.421875" style="26" customWidth="1"/>
    <col min="9" max="9" width="20.8515625" style="21" customWidth="1"/>
    <col min="10" max="10" width="11.8515625" style="21" customWidth="1"/>
    <col min="11" max="16384" width="9.140625" style="21" customWidth="1"/>
  </cols>
  <sheetData>
    <row r="2" spans="2:7" ht="18.75" customHeight="1">
      <c r="B2" s="248" t="s">
        <v>137</v>
      </c>
      <c r="C2" s="248"/>
      <c r="D2" s="248"/>
      <c r="E2" s="248"/>
      <c r="F2" s="248"/>
      <c r="G2" s="248"/>
    </row>
    <row r="3" spans="2:11" ht="36">
      <c r="B3" s="164"/>
      <c r="C3" s="165" t="s">
        <v>87</v>
      </c>
      <c r="D3" s="165" t="s">
        <v>88</v>
      </c>
      <c r="E3" s="166"/>
      <c r="F3" s="165" t="s">
        <v>141</v>
      </c>
      <c r="G3" s="167" t="s">
        <v>83</v>
      </c>
      <c r="I3" s="168" t="s">
        <v>68</v>
      </c>
      <c r="J3" s="169">
        <v>157</v>
      </c>
      <c r="K3" s="21" t="s">
        <v>69</v>
      </c>
    </row>
    <row r="4" spans="2:7" ht="18" customHeight="1">
      <c r="B4" s="170" t="s">
        <v>138</v>
      </c>
      <c r="C4" s="171"/>
      <c r="D4" s="172"/>
      <c r="E4" s="173"/>
      <c r="F4" s="171"/>
      <c r="G4" s="174"/>
    </row>
    <row r="5" spans="2:7" ht="18" customHeight="1">
      <c r="B5" s="24" t="s">
        <v>287</v>
      </c>
      <c r="C5" s="220"/>
      <c r="D5" s="172"/>
      <c r="E5" s="173"/>
      <c r="F5" s="220"/>
      <c r="G5" s="223">
        <f>+SUM(F6:F6)</f>
        <v>37.949999999999996</v>
      </c>
    </row>
    <row r="6" spans="2:9" ht="15" customHeight="1">
      <c r="B6" s="47" t="s">
        <v>4</v>
      </c>
      <c r="C6" s="64">
        <f>+'Selected Inputs'!D12</f>
        <v>75.89999999999999</v>
      </c>
      <c r="D6" s="169">
        <v>0.5</v>
      </c>
      <c r="E6" s="179" t="s">
        <v>132</v>
      </c>
      <c r="F6" s="200">
        <f>+C6*D6</f>
        <v>37.949999999999996</v>
      </c>
      <c r="G6" s="223"/>
      <c r="I6" s="51"/>
    </row>
    <row r="7" spans="2:9" ht="18" customHeight="1">
      <c r="B7" s="24" t="s">
        <v>5</v>
      </c>
      <c r="C7" s="64"/>
      <c r="D7" s="169"/>
      <c r="E7" s="179"/>
      <c r="F7" s="200"/>
      <c r="G7" s="223">
        <f>+SUM(F8:F10)</f>
        <v>130.19</v>
      </c>
      <c r="I7" s="51"/>
    </row>
    <row r="8" spans="2:9" ht="15" customHeight="1">
      <c r="B8" s="47" t="s">
        <v>96</v>
      </c>
      <c r="C8" s="64"/>
      <c r="D8" s="169"/>
      <c r="E8" s="179"/>
      <c r="F8" s="200">
        <f>+'Selected Inputs'!D38</f>
        <v>8.75</v>
      </c>
      <c r="G8" s="223"/>
      <c r="I8" s="51"/>
    </row>
    <row r="9" spans="2:9" ht="15" customHeight="1">
      <c r="B9" s="47" t="s">
        <v>263</v>
      </c>
      <c r="C9" s="64">
        <f>+'Selected Inputs'!D14</f>
        <v>0.575</v>
      </c>
      <c r="D9" s="169">
        <v>200</v>
      </c>
      <c r="E9" s="179" t="s">
        <v>133</v>
      </c>
      <c r="F9" s="200">
        <f>+C9*D9</f>
        <v>114.99999999999999</v>
      </c>
      <c r="G9" s="223"/>
      <c r="I9" s="51"/>
    </row>
    <row r="10" spans="2:9" ht="15" customHeight="1">
      <c r="B10" s="47" t="s">
        <v>250</v>
      </c>
      <c r="C10" s="64">
        <f>+'Selected Inputs'!D26</f>
        <v>0.161</v>
      </c>
      <c r="D10" s="169">
        <v>40</v>
      </c>
      <c r="E10" s="179" t="s">
        <v>133</v>
      </c>
      <c r="F10" s="200">
        <f>+C10*D10</f>
        <v>6.44</v>
      </c>
      <c r="G10" s="223"/>
      <c r="I10" s="51"/>
    </row>
    <row r="11" spans="2:9" ht="18" customHeight="1">
      <c r="B11" s="24" t="s">
        <v>6</v>
      </c>
      <c r="C11" s="64"/>
      <c r="D11" s="169"/>
      <c r="E11" s="179"/>
      <c r="F11" s="200"/>
      <c r="G11" s="223">
        <f>+SUM(F12:F17)</f>
        <v>96.82499999999999</v>
      </c>
      <c r="I11" s="51"/>
    </row>
    <row r="12" spans="2:9" ht="15" customHeight="1">
      <c r="B12" s="47" t="s">
        <v>101</v>
      </c>
      <c r="C12" s="64"/>
      <c r="D12" s="169"/>
      <c r="E12" s="179"/>
      <c r="F12" s="200">
        <f>+'Selected Inputs'!D39</f>
        <v>10</v>
      </c>
      <c r="G12" s="223"/>
      <c r="I12" s="51"/>
    </row>
    <row r="13" spans="2:9" ht="15" customHeight="1">
      <c r="B13" s="47" t="s">
        <v>104</v>
      </c>
      <c r="C13" s="64">
        <f>('Selected Inputs'!D21)/8</f>
        <v>5.31875</v>
      </c>
      <c r="D13" s="169">
        <v>3</v>
      </c>
      <c r="E13" s="179" t="s">
        <v>135</v>
      </c>
      <c r="F13" s="200">
        <f>+C13*D13</f>
        <v>15.956249999999999</v>
      </c>
      <c r="G13" s="223"/>
      <c r="I13" s="51"/>
    </row>
    <row r="14" spans="2:9" ht="15" customHeight="1">
      <c r="B14" s="47" t="s">
        <v>7</v>
      </c>
      <c r="C14" s="64">
        <f>('Selected Inputs'!D11)/8</f>
        <v>5.31875</v>
      </c>
      <c r="D14" s="169">
        <v>2</v>
      </c>
      <c r="E14" s="179" t="s">
        <v>135</v>
      </c>
      <c r="F14" s="200">
        <f>+C14*D14</f>
        <v>10.6375</v>
      </c>
      <c r="G14" s="223"/>
      <c r="I14" s="51"/>
    </row>
    <row r="15" spans="2:9" ht="15" customHeight="1">
      <c r="B15" s="47" t="s">
        <v>102</v>
      </c>
      <c r="C15" s="64">
        <f>+'Selected Inputs'!D24</f>
        <v>41.4</v>
      </c>
      <c r="D15" s="169">
        <v>0.75</v>
      </c>
      <c r="E15" s="179" t="s">
        <v>133</v>
      </c>
      <c r="F15" s="200">
        <f>+C15*D15</f>
        <v>31.049999999999997</v>
      </c>
      <c r="G15" s="223"/>
      <c r="I15" s="180"/>
    </row>
    <row r="16" spans="2:9" ht="15" customHeight="1">
      <c r="B16" s="47" t="s">
        <v>103</v>
      </c>
      <c r="C16" s="64">
        <f>('Selected Inputs'!D8)/16</f>
        <v>6.8999999999999995</v>
      </c>
      <c r="D16" s="169">
        <v>4</v>
      </c>
      <c r="E16" s="179" t="s">
        <v>134</v>
      </c>
      <c r="F16" s="200">
        <f>+C16*D16</f>
        <v>27.599999999999998</v>
      </c>
      <c r="G16" s="223"/>
      <c r="I16" s="180"/>
    </row>
    <row r="17" spans="2:9" ht="15" customHeight="1">
      <c r="B17" s="47" t="s">
        <v>112</v>
      </c>
      <c r="C17" s="64">
        <f>('Selected Inputs'!D9)/8</f>
        <v>1.58125</v>
      </c>
      <c r="D17" s="169">
        <v>1</v>
      </c>
      <c r="E17" s="179" t="s">
        <v>135</v>
      </c>
      <c r="F17" s="200">
        <f>+C17*D17</f>
        <v>1.58125</v>
      </c>
      <c r="G17" s="223"/>
      <c r="I17" s="180"/>
    </row>
    <row r="18" spans="2:9" ht="18" customHeight="1">
      <c r="B18" s="24" t="s">
        <v>8</v>
      </c>
      <c r="C18" s="64"/>
      <c r="D18" s="169"/>
      <c r="E18" s="179"/>
      <c r="F18" s="200"/>
      <c r="G18" s="223">
        <f>'Int. Costs &amp; Depr. '!O41</f>
        <v>14.634666666666666</v>
      </c>
      <c r="I18" s="180"/>
    </row>
    <row r="19" spans="2:9" ht="18" customHeight="1">
      <c r="B19" s="24" t="s">
        <v>106</v>
      </c>
      <c r="C19" s="64"/>
      <c r="D19" s="169"/>
      <c r="E19" s="179"/>
      <c r="F19" s="200"/>
      <c r="G19" s="223">
        <f>+SUM(F20:F23)</f>
        <v>160.2632157142857</v>
      </c>
      <c r="I19" s="180"/>
    </row>
    <row r="20" spans="2:9" ht="15" customHeight="1">
      <c r="B20" s="47" t="s">
        <v>80</v>
      </c>
      <c r="C20" s="64"/>
      <c r="D20" s="169"/>
      <c r="E20" s="179"/>
      <c r="F20" s="200">
        <f>'Int. Costs &amp; Depr. '!O43</f>
        <v>2.8126800000000003</v>
      </c>
      <c r="G20" s="223"/>
      <c r="I20" s="180"/>
    </row>
    <row r="21" spans="2:7" ht="15" customHeight="1">
      <c r="B21" s="47" t="s">
        <v>176</v>
      </c>
      <c r="C21" s="65"/>
      <c r="E21" s="21"/>
      <c r="F21" s="64">
        <f>'Int. Costs &amp; Depr. '!P20</f>
        <v>7.450535714285715</v>
      </c>
      <c r="G21" s="223"/>
    </row>
    <row r="22" spans="2:7" ht="15" customHeight="1">
      <c r="B22" s="47" t="s">
        <v>238</v>
      </c>
      <c r="C22" s="200"/>
      <c r="D22" s="169"/>
      <c r="E22" s="179"/>
      <c r="F22" s="200">
        <f>+'Selected Inputs'!D51</f>
        <v>75</v>
      </c>
      <c r="G22" s="223"/>
    </row>
    <row r="23" spans="2:7" ht="15" customHeight="1">
      <c r="B23" s="47" t="s">
        <v>107</v>
      </c>
      <c r="C23" s="200"/>
      <c r="D23" s="169"/>
      <c r="E23" s="179"/>
      <c r="F23" s="200">
        <f>+'Selected Inputs'!D37</f>
        <v>75</v>
      </c>
      <c r="G23" s="223"/>
    </row>
    <row r="24" spans="2:7" ht="18" customHeight="1">
      <c r="B24" s="24" t="s">
        <v>9</v>
      </c>
      <c r="C24" s="221"/>
      <c r="D24" s="172"/>
      <c r="E24" s="173"/>
      <c r="F24" s="220"/>
      <c r="G24" s="223">
        <f>+SUM(F25:F27)</f>
        <v>13.979765624999999</v>
      </c>
    </row>
    <row r="25" spans="2:7" ht="15" customHeight="1">
      <c r="B25" s="47" t="s">
        <v>101</v>
      </c>
      <c r="C25" s="222"/>
      <c r="D25" s="169"/>
      <c r="E25" s="179"/>
      <c r="F25" s="200">
        <f>+'Selected Inputs'!D39</f>
        <v>10</v>
      </c>
      <c r="G25" s="223"/>
    </row>
    <row r="26" spans="2:7" ht="15" customHeight="1">
      <c r="B26" s="47" t="s">
        <v>250</v>
      </c>
      <c r="C26" s="222">
        <f>+'Selected Inputs'!D27</f>
        <v>0.8049999999999999</v>
      </c>
      <c r="D26" s="169">
        <v>4</v>
      </c>
      <c r="E26" s="179" t="s">
        <v>133</v>
      </c>
      <c r="F26" s="200">
        <f>+C26*D26</f>
        <v>3.2199999999999998</v>
      </c>
      <c r="G26" s="223"/>
    </row>
    <row r="27" spans="2:9" ht="15" customHeight="1">
      <c r="B27" s="47" t="s">
        <v>10</v>
      </c>
      <c r="C27" s="222">
        <f>('Selected Inputs'!D29)/128</f>
        <v>0.151953125</v>
      </c>
      <c r="D27" s="169">
        <v>5</v>
      </c>
      <c r="E27" s="179" t="s">
        <v>134</v>
      </c>
      <c r="F27" s="200">
        <f>+C27*D27</f>
        <v>0.759765625</v>
      </c>
      <c r="G27" s="223"/>
      <c r="I27" s="180"/>
    </row>
    <row r="28" spans="2:7" ht="18" customHeight="1">
      <c r="B28" s="24" t="s">
        <v>113</v>
      </c>
      <c r="C28" s="222"/>
      <c r="D28" s="169"/>
      <c r="E28" s="179"/>
      <c r="F28" s="200"/>
      <c r="G28" s="223">
        <f>+F29</f>
        <v>12</v>
      </c>
    </row>
    <row r="29" spans="2:7" ht="15" customHeight="1">
      <c r="B29" s="47" t="s">
        <v>114</v>
      </c>
      <c r="C29" s="204"/>
      <c r="D29" s="169"/>
      <c r="E29" s="179"/>
      <c r="F29" s="200">
        <f>+'Selected Inputs'!D43</f>
        <v>12</v>
      </c>
      <c r="G29" s="224"/>
    </row>
    <row r="30" spans="2:7" ht="18" customHeight="1">
      <c r="B30" s="24" t="s">
        <v>11</v>
      </c>
      <c r="C30" s="64"/>
      <c r="D30" s="169"/>
      <c r="E30" s="179"/>
      <c r="F30" s="200"/>
      <c r="G30" s="223">
        <f>SUM(F31:F32)*0.1</f>
        <v>1.5874651785714287</v>
      </c>
    </row>
    <row r="31" spans="2:7" ht="15" customHeight="1">
      <c r="B31" s="47" t="s">
        <v>12</v>
      </c>
      <c r="C31" s="64"/>
      <c r="D31" s="51"/>
      <c r="E31" s="179"/>
      <c r="F31" s="200">
        <f>'Int. Costs &amp; Depr. '!O39</f>
        <v>10.663714285714285</v>
      </c>
      <c r="G31" s="223"/>
    </row>
    <row r="32" spans="2:7" ht="15" customHeight="1">
      <c r="B32" s="47" t="s">
        <v>13</v>
      </c>
      <c r="C32" s="64">
        <f>('Selected Inputs'!D25)/128</f>
        <v>5.2109375</v>
      </c>
      <c r="D32" s="169">
        <v>1</v>
      </c>
      <c r="E32" s="179" t="s">
        <v>134</v>
      </c>
      <c r="F32" s="200">
        <f>+C32*D32</f>
        <v>5.2109375</v>
      </c>
      <c r="G32" s="223"/>
    </row>
    <row r="33" spans="2:7" ht="18" customHeight="1">
      <c r="B33" s="24" t="s">
        <v>14</v>
      </c>
      <c r="C33" s="64"/>
      <c r="D33" s="169"/>
      <c r="E33" s="179"/>
      <c r="F33" s="200"/>
      <c r="G33" s="223">
        <f>+SUM(F34:F36)</f>
        <v>49.56625</v>
      </c>
    </row>
    <row r="34" spans="2:8" ht="12.75">
      <c r="B34" s="189" t="s">
        <v>120</v>
      </c>
      <c r="C34" s="204"/>
      <c r="D34" s="184"/>
      <c r="E34" s="188"/>
      <c r="F34" s="204">
        <f>+'Selected Inputs'!D35</f>
        <v>9</v>
      </c>
      <c r="G34" s="225"/>
      <c r="H34" s="183"/>
    </row>
    <row r="35" spans="2:8" ht="12.75">
      <c r="B35" s="189" t="s">
        <v>121</v>
      </c>
      <c r="C35" s="204">
        <f>+'Selected Inputs'!D6</f>
        <v>40.25</v>
      </c>
      <c r="D35" s="184">
        <v>1</v>
      </c>
      <c r="E35" s="188" t="s">
        <v>133</v>
      </c>
      <c r="F35" s="204">
        <f>+C35*D35</f>
        <v>40.25</v>
      </c>
      <c r="G35" s="225"/>
      <c r="H35" s="183"/>
    </row>
    <row r="36" spans="2:8" ht="12.75">
      <c r="B36" s="189" t="s">
        <v>122</v>
      </c>
      <c r="C36" s="204">
        <f>('Selected Inputs'!D15)/128</f>
        <v>0.09882812499999999</v>
      </c>
      <c r="D36" s="184">
        <v>3.2</v>
      </c>
      <c r="E36" s="188" t="s">
        <v>134</v>
      </c>
      <c r="F36" s="204">
        <f>+C36*D36</f>
        <v>0.31625</v>
      </c>
      <c r="G36" s="225"/>
      <c r="H36" s="183"/>
    </row>
    <row r="37" spans="2:8" ht="18" customHeight="1">
      <c r="B37" s="187" t="s">
        <v>15</v>
      </c>
      <c r="C37" s="64"/>
      <c r="D37" s="169"/>
      <c r="E37" s="179"/>
      <c r="F37" s="200"/>
      <c r="G37" s="223">
        <f>+SUM(F38:F39)</f>
        <v>20.96</v>
      </c>
      <c r="H37" s="183"/>
    </row>
    <row r="38" spans="2:8" ht="12.75">
      <c r="B38" s="189" t="s">
        <v>120</v>
      </c>
      <c r="C38" s="200"/>
      <c r="E38" s="21"/>
      <c r="F38" s="200">
        <f>+'Selected Inputs'!D35</f>
        <v>9</v>
      </c>
      <c r="G38" s="224"/>
      <c r="H38" s="183"/>
    </row>
    <row r="39" spans="2:8" ht="12.75">
      <c r="B39" s="189" t="s">
        <v>16</v>
      </c>
      <c r="C39" s="200">
        <f>+'Selected Inputs'!D22</f>
        <v>2.3</v>
      </c>
      <c r="D39" s="169">
        <v>5.2</v>
      </c>
      <c r="E39" s="179" t="s">
        <v>134</v>
      </c>
      <c r="F39" s="200">
        <f>+C39*D39</f>
        <v>11.959999999999999</v>
      </c>
      <c r="G39" s="224"/>
      <c r="H39" s="183"/>
    </row>
    <row r="40" spans="2:7" ht="18" customHeight="1">
      <c r="B40" s="187" t="s">
        <v>18</v>
      </c>
      <c r="C40" s="64"/>
      <c r="D40" s="169"/>
      <c r="E40" s="179"/>
      <c r="F40" s="200"/>
      <c r="G40" s="223">
        <f>+SUM(F41:F43)*0.3</f>
        <v>5.813625</v>
      </c>
    </row>
    <row r="41" spans="2:7" ht="12.75">
      <c r="B41" s="189" t="s">
        <v>120</v>
      </c>
      <c r="C41" s="200"/>
      <c r="D41" s="169"/>
      <c r="E41" s="179"/>
      <c r="F41" s="200">
        <f>+'Selected Inputs'!D35</f>
        <v>9</v>
      </c>
      <c r="G41" s="224"/>
    </row>
    <row r="42" spans="2:8" ht="12.75">
      <c r="B42" s="189" t="s">
        <v>17</v>
      </c>
      <c r="C42" s="200">
        <f>+'Selected Inputs'!D16</f>
        <v>10.0625</v>
      </c>
      <c r="D42" s="169">
        <v>1</v>
      </c>
      <c r="E42" s="179" t="s">
        <v>133</v>
      </c>
      <c r="F42" s="200">
        <f>+C42*D42</f>
        <v>10.0625</v>
      </c>
      <c r="G42" s="224"/>
      <c r="H42" s="185"/>
    </row>
    <row r="43" spans="2:7" ht="12.75">
      <c r="B43" s="189" t="s">
        <v>122</v>
      </c>
      <c r="C43" s="200">
        <f>('Selected Inputs'!D15)/128</f>
        <v>0.09882812499999999</v>
      </c>
      <c r="D43" s="169">
        <v>3.2</v>
      </c>
      <c r="E43" s="179" t="s">
        <v>134</v>
      </c>
      <c r="F43" s="200">
        <f>+C43*D43</f>
        <v>0.31625</v>
      </c>
      <c r="G43" s="224"/>
    </row>
    <row r="44" spans="2:8" ht="18" customHeight="1">
      <c r="B44" s="187" t="s">
        <v>19</v>
      </c>
      <c r="C44" s="64"/>
      <c r="D44" s="169"/>
      <c r="E44" s="179"/>
      <c r="F44" s="200"/>
      <c r="G44" s="223">
        <f>+SUM(F45:F46)*0.5</f>
        <v>21.076171875</v>
      </c>
      <c r="H44" s="183"/>
    </row>
    <row r="45" spans="2:7" ht="12.75">
      <c r="B45" s="189" t="s">
        <v>120</v>
      </c>
      <c r="C45" s="200"/>
      <c r="D45" s="169"/>
      <c r="E45" s="179"/>
      <c r="F45" s="200">
        <f>+'Selected Inputs'!D35</f>
        <v>9</v>
      </c>
      <c r="G45" s="224"/>
    </row>
    <row r="46" spans="2:7" ht="12.75">
      <c r="B46" s="189" t="s">
        <v>116</v>
      </c>
      <c r="C46" s="200">
        <f>('Selected Inputs'!D17)/128</f>
        <v>3.3152343749999997</v>
      </c>
      <c r="D46" s="169">
        <v>10</v>
      </c>
      <c r="E46" s="179" t="s">
        <v>134</v>
      </c>
      <c r="F46" s="200">
        <f>+C46*D46</f>
        <v>33.15234375</v>
      </c>
      <c r="G46" s="224"/>
    </row>
    <row r="47" spans="2:8" ht="18" customHeight="1">
      <c r="B47" s="24" t="s">
        <v>20</v>
      </c>
      <c r="C47" s="64"/>
      <c r="D47" s="169"/>
      <c r="E47" s="179"/>
      <c r="F47" s="200"/>
      <c r="G47" s="223">
        <f>+F48</f>
        <v>423.90000000000003</v>
      </c>
      <c r="H47" s="183"/>
    </row>
    <row r="48" spans="2:8" ht="12.75">
      <c r="B48" s="47" t="s">
        <v>213</v>
      </c>
      <c r="C48" s="200">
        <f>+'Selected Inputs'!D40</f>
        <v>4.5</v>
      </c>
      <c r="D48" s="219">
        <f>$J$3*0.6</f>
        <v>94.2</v>
      </c>
      <c r="E48" s="179" t="s">
        <v>133</v>
      </c>
      <c r="F48" s="200">
        <f>+C48*D48</f>
        <v>423.90000000000003</v>
      </c>
      <c r="G48" s="224"/>
      <c r="H48" s="183"/>
    </row>
    <row r="49" spans="2:7" ht="18" customHeight="1">
      <c r="B49" s="24" t="s">
        <v>21</v>
      </c>
      <c r="C49" s="64"/>
      <c r="D49" s="169"/>
      <c r="E49" s="179"/>
      <c r="F49" s="200"/>
      <c r="G49" s="223">
        <f>+SUM(F50:F51)</f>
        <v>96.25</v>
      </c>
    </row>
    <row r="50" spans="2:7" ht="12.75">
      <c r="B50" s="47" t="s">
        <v>101</v>
      </c>
      <c r="C50" s="64"/>
      <c r="D50" s="169"/>
      <c r="E50" s="51"/>
      <c r="F50" s="200">
        <f>+'Selected Inputs'!D39</f>
        <v>10</v>
      </c>
      <c r="G50" s="65"/>
    </row>
    <row r="51" spans="2:7" ht="12.75">
      <c r="B51" s="47" t="s">
        <v>263</v>
      </c>
      <c r="C51" s="64">
        <f>+'Selected Inputs'!D14</f>
        <v>0.575</v>
      </c>
      <c r="D51" s="169">
        <v>150</v>
      </c>
      <c r="E51" s="51" t="s">
        <v>133</v>
      </c>
      <c r="F51" s="200">
        <f>+D51*C51</f>
        <v>86.25</v>
      </c>
      <c r="G51" s="65"/>
    </row>
    <row r="52" spans="2:7" ht="18" customHeight="1">
      <c r="B52" s="24" t="s">
        <v>22</v>
      </c>
      <c r="C52" s="64"/>
      <c r="D52" s="169"/>
      <c r="E52" s="179"/>
      <c r="F52" s="200"/>
      <c r="G52" s="223">
        <f>'Int. Costs &amp; Depr. '!O49</f>
        <v>26.51995</v>
      </c>
    </row>
    <row r="53" spans="2:7" ht="18" customHeight="1">
      <c r="B53" s="24" t="s">
        <v>23</v>
      </c>
      <c r="C53" s="64"/>
      <c r="D53" s="169"/>
      <c r="E53" s="179"/>
      <c r="F53" s="200"/>
      <c r="G53" s="223">
        <f>+F54</f>
        <v>282.6</v>
      </c>
    </row>
    <row r="54" spans="2:7" ht="12.75">
      <c r="B54" s="47" t="s">
        <v>213</v>
      </c>
      <c r="C54" s="200">
        <f>+'Selected Inputs'!D40</f>
        <v>4.5</v>
      </c>
      <c r="D54" s="219">
        <f>$J$3*0.4</f>
        <v>62.800000000000004</v>
      </c>
      <c r="E54" s="179" t="s">
        <v>133</v>
      </c>
      <c r="F54" s="200">
        <f>+C54*D54</f>
        <v>282.6</v>
      </c>
      <c r="G54" s="224"/>
    </row>
    <row r="55" spans="2:7" ht="18" customHeight="1">
      <c r="B55" s="24" t="s">
        <v>24</v>
      </c>
      <c r="C55" s="64"/>
      <c r="D55" s="230"/>
      <c r="E55" s="179"/>
      <c r="F55" s="200"/>
      <c r="G55" s="223">
        <f>+'Int. Costs &amp; Depr. '!O49</f>
        <v>26.51995</v>
      </c>
    </row>
    <row r="56" spans="2:7" ht="18" customHeight="1">
      <c r="B56" s="24" t="s">
        <v>126</v>
      </c>
      <c r="C56" s="64">
        <f>+'Selected Inputs'!D55</f>
        <v>0.15</v>
      </c>
      <c r="D56" s="219">
        <f>$J$3</f>
        <v>157</v>
      </c>
      <c r="E56" s="179" t="s">
        <v>133</v>
      </c>
      <c r="F56" s="200">
        <f>+C56*D56</f>
        <v>23.55</v>
      </c>
      <c r="G56" s="223">
        <f>+F56</f>
        <v>23.55</v>
      </c>
    </row>
    <row r="57" spans="2:7" ht="18" customHeight="1">
      <c r="B57" s="187" t="s">
        <v>25</v>
      </c>
      <c r="C57" s="222"/>
      <c r="D57" s="184"/>
      <c r="E57" s="188"/>
      <c r="F57" s="204"/>
      <c r="G57" s="226">
        <f>+'Selected Inputs'!D57</f>
        <v>40</v>
      </c>
    </row>
    <row r="58" spans="2:7" ht="18" customHeight="1">
      <c r="B58" s="187" t="s">
        <v>26</v>
      </c>
      <c r="C58" s="222"/>
      <c r="D58" s="184"/>
      <c r="E58" s="188"/>
      <c r="F58" s="204"/>
      <c r="G58" s="226">
        <f>+SUM(F59:F61)</f>
        <v>125.31624999999998</v>
      </c>
    </row>
    <row r="59" spans="2:7" ht="18" customHeight="1">
      <c r="B59" s="189" t="s">
        <v>101</v>
      </c>
      <c r="C59" s="222"/>
      <c r="D59" s="184"/>
      <c r="E59" s="185"/>
      <c r="F59" s="204">
        <f>+'Selected Inputs'!D39</f>
        <v>10</v>
      </c>
      <c r="G59" s="226"/>
    </row>
    <row r="60" spans="2:7" ht="12.75">
      <c r="B60" s="189" t="s">
        <v>94</v>
      </c>
      <c r="C60" s="222">
        <f>+'Selected Inputs'!D13</f>
        <v>114.99999999999999</v>
      </c>
      <c r="D60" s="184">
        <v>1</v>
      </c>
      <c r="E60" s="185" t="s">
        <v>132</v>
      </c>
      <c r="F60" s="204">
        <f>+D60*C60</f>
        <v>114.99999999999999</v>
      </c>
      <c r="G60" s="35"/>
    </row>
    <row r="61" spans="2:7" ht="12.75">
      <c r="B61" s="189" t="s">
        <v>122</v>
      </c>
      <c r="C61" s="222">
        <f>('Selected Inputs'!D15)/128</f>
        <v>0.09882812499999999</v>
      </c>
      <c r="D61" s="184">
        <v>3.2</v>
      </c>
      <c r="E61" s="185" t="s">
        <v>134</v>
      </c>
      <c r="F61" s="204">
        <f>+D61*C61</f>
        <v>0.31625</v>
      </c>
      <c r="G61" s="35"/>
    </row>
    <row r="62" spans="2:7" ht="18" customHeight="1">
      <c r="B62" s="187" t="s">
        <v>82</v>
      </c>
      <c r="C62" s="222"/>
      <c r="D62" s="184"/>
      <c r="E62" s="188"/>
      <c r="F62" s="204"/>
      <c r="G62" s="226">
        <f>+SUM(F63:F65)</f>
        <v>101.83864697802197</v>
      </c>
    </row>
    <row r="63" spans="2:7" ht="12.75">
      <c r="B63" s="189" t="s">
        <v>86</v>
      </c>
      <c r="C63" s="222"/>
      <c r="D63" s="185"/>
      <c r="E63" s="188"/>
      <c r="F63" s="204">
        <f>'Int. Costs &amp; Depr. '!O51</f>
        <v>30.164307692307688</v>
      </c>
      <c r="G63" s="227"/>
    </row>
    <row r="64" spans="2:7" ht="12.75">
      <c r="B64" s="47" t="s">
        <v>173</v>
      </c>
      <c r="C64" s="64"/>
      <c r="D64" s="51"/>
      <c r="E64" s="179"/>
      <c r="F64" s="200">
        <f>'Int. Costs &amp; Depr. '!O52</f>
        <v>61.928</v>
      </c>
      <c r="G64" s="228"/>
    </row>
    <row r="65" spans="2:7" ht="12.75">
      <c r="B65" s="47" t="s">
        <v>170</v>
      </c>
      <c r="C65" s="64"/>
      <c r="D65" s="51"/>
      <c r="E65" s="179"/>
      <c r="F65" s="200">
        <f>'Int. Costs &amp; Depr. '!O53</f>
        <v>9.746339285714285</v>
      </c>
      <c r="G65" s="228"/>
    </row>
    <row r="66" spans="2:7" ht="18" customHeight="1">
      <c r="B66" s="24" t="s">
        <v>27</v>
      </c>
      <c r="C66" s="64"/>
      <c r="D66" s="169"/>
      <c r="E66" s="179"/>
      <c r="F66" s="200"/>
      <c r="G66" s="223">
        <f>0.03*(SUM(G11:G62))</f>
        <v>46.29602871112637</v>
      </c>
    </row>
    <row r="67" spans="2:7" ht="18" customHeight="1">
      <c r="B67" s="24" t="s">
        <v>261</v>
      </c>
      <c r="C67" s="64"/>
      <c r="D67" s="169"/>
      <c r="E67" s="179"/>
      <c r="F67" s="200"/>
      <c r="G67" s="223">
        <f>+'Selected Inputs'!D52</f>
        <v>310</v>
      </c>
    </row>
    <row r="68" spans="2:7" ht="18" customHeight="1">
      <c r="B68" s="24" t="s">
        <v>277</v>
      </c>
      <c r="C68" s="64"/>
      <c r="D68" s="169"/>
      <c r="E68" s="179"/>
      <c r="F68" s="200"/>
      <c r="G68" s="223">
        <f>+'Selected Inputs'!D54</f>
        <v>100</v>
      </c>
    </row>
    <row r="69" spans="2:7" ht="18" customHeight="1" thickBot="1">
      <c r="B69" s="61" t="s">
        <v>217</v>
      </c>
      <c r="C69" s="70"/>
      <c r="D69" s="191"/>
      <c r="E69" s="192"/>
      <c r="F69" s="205"/>
      <c r="G69" s="229">
        <f>+'Selected Inputs'!D49</f>
        <v>14</v>
      </c>
    </row>
    <row r="70" ht="12.75">
      <c r="B70" s="21" t="s">
        <v>288</v>
      </c>
    </row>
    <row r="71" ht="12.75">
      <c r="B71" s="21" t="s">
        <v>28</v>
      </c>
    </row>
    <row r="72" ht="12.75">
      <c r="B72" s="21" t="s">
        <v>29</v>
      </c>
    </row>
    <row r="73" ht="12.75">
      <c r="B73" s="21" t="s">
        <v>30</v>
      </c>
    </row>
  </sheetData>
  <sheetProtection sheet="1" objects="1" scenarios="1"/>
  <mergeCells count="1">
    <mergeCell ref="B2:G2"/>
  </mergeCells>
  <printOptions/>
  <pageMargins left="0.7" right="0.7" top="0.75" bottom="0.75" header="0.3" footer="0.3"/>
  <pageSetup fitToHeight="1" fitToWidth="1" horizontalDpi="600" verticalDpi="600" orientation="portrait" scale="58"/>
</worksheet>
</file>

<file path=xl/worksheets/sheet9.xml><?xml version="1.0" encoding="utf-8"?>
<worksheet xmlns="http://schemas.openxmlformats.org/spreadsheetml/2006/main" xmlns:r="http://schemas.openxmlformats.org/officeDocument/2006/relationships">
  <dimension ref="A1:D9"/>
  <sheetViews>
    <sheetView showGridLines="0" zoomScalePageLayoutView="0" workbookViewId="0" topLeftCell="A1">
      <selection activeCell="A2" sqref="A2"/>
    </sheetView>
  </sheetViews>
  <sheetFormatPr defaultColWidth="8.8515625" defaultRowHeight="15"/>
  <cols>
    <col min="1" max="1" width="8.8515625" style="72" customWidth="1"/>
    <col min="2" max="2" width="26.8515625" style="72" bestFit="1" customWidth="1"/>
    <col min="3" max="3" width="16.00390625" style="72" customWidth="1"/>
    <col min="4" max="16384" width="8.8515625" style="72" customWidth="1"/>
  </cols>
  <sheetData>
    <row r="1" spans="1:4" ht="13.5">
      <c r="A1" s="21"/>
      <c r="B1" s="21"/>
      <c r="C1" s="21"/>
      <c r="D1" s="21"/>
    </row>
    <row r="2" spans="1:4" ht="17.25" customHeight="1" thickBot="1">
      <c r="A2" s="21"/>
      <c r="B2" s="249" t="s">
        <v>302</v>
      </c>
      <c r="C2" s="249"/>
      <c r="D2" s="21"/>
    </row>
    <row r="3" spans="1:4" ht="13.5">
      <c r="A3" s="21"/>
      <c r="B3" s="21" t="s">
        <v>2</v>
      </c>
      <c r="C3" s="231">
        <f>'Spearmint Budget'!C46</f>
        <v>-1613.9736313553112</v>
      </c>
      <c r="D3" s="21"/>
    </row>
    <row r="4" spans="1:4" ht="13.5">
      <c r="A4" s="21"/>
      <c r="B4" s="21" t="s">
        <v>31</v>
      </c>
      <c r="C4" s="198">
        <v>3</v>
      </c>
      <c r="D4" s="21"/>
    </row>
    <row r="5" spans="1:4" ht="13.5">
      <c r="A5" s="21"/>
      <c r="B5" s="21" t="s">
        <v>246</v>
      </c>
      <c r="C5" s="198">
        <v>0.07</v>
      </c>
      <c r="D5" s="21"/>
    </row>
    <row r="6" spans="1:4" ht="13.5">
      <c r="A6" s="21"/>
      <c r="B6" s="21"/>
      <c r="C6" s="197"/>
      <c r="D6" s="21"/>
    </row>
    <row r="7" spans="1:4" ht="13.5">
      <c r="A7" s="21"/>
      <c r="B7" s="44" t="s">
        <v>3</v>
      </c>
      <c r="C7" s="232">
        <f>IF(C4=0," ",PMT(C5,C4,C3))</f>
        <v>615.0073405942344</v>
      </c>
      <c r="D7" s="21"/>
    </row>
    <row r="8" spans="1:4" ht="13.5">
      <c r="A8" s="21"/>
      <c r="B8" s="21"/>
      <c r="C8" s="52"/>
      <c r="D8" s="21"/>
    </row>
    <row r="9" spans="1:4" ht="13.5">
      <c r="A9" s="21"/>
      <c r="B9" s="21"/>
      <c r="C9" s="21"/>
      <c r="D9" s="21"/>
    </row>
  </sheetData>
  <sheetProtection sheet="1" objects="1" scenarios="1"/>
  <mergeCells count="1">
    <mergeCell ref="B2:C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dc:creator>
  <cp:keywords/>
  <dc:description/>
  <cp:lastModifiedBy>Sally O'Neal</cp:lastModifiedBy>
  <cp:lastPrinted>2011-02-16T05:05:23Z</cp:lastPrinted>
  <dcterms:created xsi:type="dcterms:W3CDTF">2010-02-18T23:57:22Z</dcterms:created>
  <dcterms:modified xsi:type="dcterms:W3CDTF">2011-05-05T16:58:34Z</dcterms:modified>
  <cp:category/>
  <cp:version/>
  <cp:contentType/>
  <cp:contentStatus/>
</cp:coreProperties>
</file>