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9640" windowHeight="18640" tabRatio="668" activeTab="0"/>
  </bookViews>
  <sheets>
    <sheet name="Intro" sheetId="1" r:id="rId1"/>
    <sheet name="Budget" sheetId="2" r:id="rId2"/>
    <sheet name="Break-even Selling Prices" sheetId="3" r:id="rId3"/>
    <sheet name="Price &amp; Yield Anal." sheetId="4" r:id="rId4"/>
    <sheet name="Machinery &amp; Building Req." sheetId="5" r:id="rId5"/>
    <sheet name="Int. Costs &amp; Depr." sheetId="6" r:id="rId6"/>
    <sheet name="Estab. Costs" sheetId="7" r:id="rId7"/>
    <sheet name="Full Prod. Costs" sheetId="8" r:id="rId8"/>
    <sheet name="Amort. Calc." sheetId="9" r:id="rId9"/>
    <sheet name="Selected Inputs" sheetId="10" r:id="rId10"/>
  </sheets>
  <definedNames/>
  <calcPr fullCalcOnLoad="1"/>
</workbook>
</file>

<file path=xl/sharedStrings.xml><?xml version="1.0" encoding="utf-8"?>
<sst xmlns="http://schemas.openxmlformats.org/spreadsheetml/2006/main" count="430" uniqueCount="263">
  <si>
    <t>Purchase Price</t>
  </si>
  <si>
    <t>Number</t>
  </si>
  <si>
    <t>Total Cost</t>
  </si>
  <si>
    <t>180-Horsepower Wheel Tractor</t>
  </si>
  <si>
    <t>100-Horsepower Wheel Tractor</t>
  </si>
  <si>
    <t>15-Foot Roller Harrow</t>
  </si>
  <si>
    <t>2011 Cost Estimates of Establishing and Producing Peppermint</t>
  </si>
  <si>
    <t>Budget Assumptions and Information</t>
  </si>
  <si>
    <t>1.</t>
  </si>
  <si>
    <t>2.</t>
  </si>
  <si>
    <t>3.</t>
  </si>
  <si>
    <t>The cost of the center pivot irrigation, designed for 125 acres, is included in the $400 land rent.</t>
  </si>
  <si>
    <t>4.</t>
  </si>
  <si>
    <t>5.</t>
  </si>
  <si>
    <t>Peppermint has a four-year life, including the establishment year.</t>
  </si>
  <si>
    <t>6.</t>
  </si>
  <si>
    <t>Estimated production of Peppermint is 75 pounds of oil per acre during the establishment year and 130 pounds per acre during each of the remaining three producing years (80 pounds during July harvest and 50 pounds during September harvest).</t>
  </si>
  <si>
    <t>7.</t>
  </si>
  <si>
    <t>Price received for Peppermint oil is $15 per pound.</t>
  </si>
  <si>
    <t>8.</t>
  </si>
  <si>
    <t>Interest on operating loans is assumed to be 7 percent. Return on alternative investments is assumed to be 7 percent and represents the opportunity cost of investments in machinery and irrigation equipment.</t>
  </si>
  <si>
    <t>9.</t>
  </si>
  <si>
    <r>
      <t xml:space="preserve">Values in orange are provided by the grower and can be changed. To customize a production scenario, the user must change the </t>
    </r>
    <r>
      <rPr>
        <sz val="11"/>
        <color indexed="53"/>
        <rFont val="Times New Roman"/>
        <family val="1"/>
      </rPr>
      <t>orange</t>
    </r>
    <r>
      <rPr>
        <sz val="11"/>
        <color indexed="8"/>
        <rFont val="Times New Roman"/>
        <family val="1"/>
      </rPr>
      <t xml:space="preserve"> values in the following spreadsheets:  Selected Inputs, Establishment Costs, Full Production Costs, Machinery &amp; Building Requirements, Interest Costs &amp; Depreciation, Price &amp; Yield Analysis.</t>
    </r>
  </si>
  <si>
    <r>
      <t xml:space="preserve">Values in </t>
    </r>
    <r>
      <rPr>
        <b/>
        <sz val="11"/>
        <color indexed="8"/>
        <rFont val="Times New Roman"/>
        <family val="1"/>
      </rPr>
      <t>black</t>
    </r>
    <r>
      <rPr>
        <sz val="11"/>
        <color indexed="8"/>
        <rFont val="Times New Roman"/>
        <family val="1"/>
      </rPr>
      <t xml:space="preserve"> are calculated using the input data and cannot be modified.</t>
    </r>
  </si>
  <si>
    <t>10.</t>
  </si>
  <si>
    <t>The information in this publication serves as a general guide for a modern and well-managed Peppermint farm as of 2011. To avoid unwarranted conclusions for any particular operation, the reader is asked to closely examine the assumptions used. If they are not appropriate for a given situation, adjust the costs and/or returns as needed.</t>
  </si>
  <si>
    <t>qt.</t>
  </si>
  <si>
    <t>Weed (June)</t>
  </si>
  <si>
    <t>Hand weed</t>
  </si>
  <si>
    <t>Apply Insecticide (August)</t>
  </si>
  <si>
    <t>Acramite®</t>
  </si>
  <si>
    <t>Harvest and Process (August)</t>
  </si>
  <si>
    <t>Market Assessment (September)</t>
  </si>
  <si>
    <t xml:space="preserve">The farm is 1,000 acres with 400 acres in peppermint and 600 acres in other row crops.  Within 400 acres of peppermint, there are 4 plots with 100 acres in each plot. For every 100-acre plot, 5 acres are dedicated to roads, loading area, irrigation system, etc.  Therefore, this budget will be based on a plot with a total productive area of 95 acres and a total productive field of 380 acres in peppermint. </t>
  </si>
  <si>
    <t>Establishing Year</t>
  </si>
  <si>
    <t>Your Costs</t>
  </si>
  <si>
    <t>Estimated Price (per pound)</t>
  </si>
  <si>
    <t xml:space="preserve">Establishment </t>
  </si>
  <si>
    <t>Fertilizer Application</t>
  </si>
  <si>
    <t>Herbicide Application</t>
  </si>
  <si>
    <t>Insecticide Application</t>
  </si>
  <si>
    <t>Irrigation</t>
  </si>
  <si>
    <t>Weeding</t>
  </si>
  <si>
    <t>Field Border Spraying</t>
  </si>
  <si>
    <t>Harvest</t>
  </si>
  <si>
    <t>Custom Harvesting and Processing</t>
  </si>
  <si>
    <t>Market Assessment</t>
  </si>
  <si>
    <t>Residue Disposal</t>
  </si>
  <si>
    <t>Maintenance and Repairs</t>
  </si>
  <si>
    <t xml:space="preserve">Machinery Repair </t>
  </si>
  <si>
    <t>Machinery Fueling and Lubrication</t>
  </si>
  <si>
    <t>Other Variable Costs</t>
  </si>
  <si>
    <t>Root Borer Control</t>
  </si>
  <si>
    <t>Crop Insurance</t>
  </si>
  <si>
    <t>Overhead (3% of variable costs)</t>
  </si>
  <si>
    <t>Total Variable Costs</t>
  </si>
  <si>
    <t>Machine Depreciation</t>
  </si>
  <si>
    <t xml:space="preserve">Machine Interest </t>
  </si>
  <si>
    <t>Machine Housing, Insurance, and Taxes</t>
  </si>
  <si>
    <t>Land Rent</t>
  </si>
  <si>
    <t>Management Charge</t>
  </si>
  <si>
    <t>Total Fixed Costs</t>
  </si>
  <si>
    <t>Cost Per Acre</t>
  </si>
  <si>
    <t>Your Cost</t>
  </si>
  <si>
    <t>1. Total Variable Cost</t>
  </si>
  <si>
    <t>[2]</t>
  </si>
  <si>
    <t>2. Total Cash Costs</t>
  </si>
  <si>
    <t>[3]</t>
  </si>
  <si>
    <t>Total Variable Cost</t>
  </si>
  <si>
    <t>Machinery Insurance and Taxes</t>
  </si>
  <si>
    <t>3. Total Cash Cost and Depreciation</t>
  </si>
  <si>
    <t>[4]</t>
  </si>
  <si>
    <t>Total Cash Costs</t>
  </si>
  <si>
    <t>Machinery Depreciation</t>
  </si>
  <si>
    <t>4. Total Cost</t>
  </si>
  <si>
    <t>[5]</t>
  </si>
  <si>
    <t>Total Cash Cost and Depreciation</t>
  </si>
  <si>
    <t>Machinery Interest</t>
  </si>
  <si>
    <t>Management</t>
  </si>
  <si>
    <t>[2] If price is below this level, the crop is uneconomical to produce.</t>
  </si>
  <si>
    <t>[3] Price allows producer to stay in business in the short run.</t>
  </si>
  <si>
    <t>[4] Price allows producer to stay in business in the long run.</t>
  </si>
  <si>
    <t>[5] Price covers all cash and opportunity costs.</t>
  </si>
  <si>
    <t>Price (per pound)</t>
  </si>
  <si>
    <t>Yield (pounds per acre)</t>
  </si>
  <si>
    <r>
      <t xml:space="preserve">Electricity Charge </t>
    </r>
    <r>
      <rPr>
        <sz val="8"/>
        <rFont val="Times New Roman"/>
        <family val="1"/>
      </rPr>
      <t>(when using a center pivot irrigation system)</t>
    </r>
  </si>
  <si>
    <t>Table 6PC. Cost Per Acre of Each Activity Using Machinery Under Center Pivot Irrigation System</t>
  </si>
  <si>
    <t>15-Foot Offset Disc</t>
  </si>
  <si>
    <t>7-Foot Shank Ripper</t>
  </si>
  <si>
    <t>5-Row Cultivator</t>
  </si>
  <si>
    <t>Blade</t>
  </si>
  <si>
    <t>Four-Wheel ATV</t>
  </si>
  <si>
    <t>ATV Sprayer</t>
  </si>
  <si>
    <t xml:space="preserve">Three-Quarter-Ton Pickup </t>
  </si>
  <si>
    <t>Labor's Pickup</t>
  </si>
  <si>
    <t>Total Purchase Price</t>
  </si>
  <si>
    <t>Years of Use</t>
  </si>
  <si>
    <t>Annual Hours</t>
  </si>
  <si>
    <t>Depreciation Cost</t>
  </si>
  <si>
    <t>Interest Cost</t>
  </si>
  <si>
    <t>Housing, Taxes, and Insurance [1]</t>
  </si>
  <si>
    <t xml:space="preserve">Total Fixed Cost  </t>
  </si>
  <si>
    <t xml:space="preserve">Repair </t>
  </si>
  <si>
    <t>Repair Per Hour</t>
  </si>
  <si>
    <t>Fuel Type</t>
  </si>
  <si>
    <t>Gallons Per Hour</t>
  </si>
  <si>
    <t xml:space="preserve">Fuel and Lubrication [2] </t>
  </si>
  <si>
    <t xml:space="preserve">Total Variable Cost </t>
  </si>
  <si>
    <t xml:space="preserve">Total Cost </t>
  </si>
  <si>
    <t>Cost Per Hour</t>
  </si>
  <si>
    <t>Diesel</t>
  </si>
  <si>
    <t xml:space="preserve">Gas </t>
  </si>
  <si>
    <t>Labor Pickup</t>
  </si>
  <si>
    <t>Interest Rate</t>
  </si>
  <si>
    <t>Salvage Value</t>
  </si>
  <si>
    <t>Number of Acres</t>
  </si>
  <si>
    <t>[1] Estimated as 1% of current value</t>
  </si>
  <si>
    <t>[2] Adding 15% for lubrication costs</t>
  </si>
  <si>
    <t>Activity</t>
  </si>
  <si>
    <t xml:space="preserve">Tooling </t>
  </si>
  <si>
    <t>Labor</t>
  </si>
  <si>
    <t>Repair Per Activity</t>
  </si>
  <si>
    <t>Gallons Per Activity</t>
  </si>
  <si>
    <t xml:space="preserve">Fuel and Lubrication </t>
  </si>
  <si>
    <t>15-Foot Offset Disk</t>
  </si>
  <si>
    <t>Mark-Out</t>
  </si>
  <si>
    <t>Miscellaneous</t>
  </si>
  <si>
    <t>Three-Quarter-Ton Pickup</t>
  </si>
  <si>
    <t>Total Cost Per Acre</t>
  </si>
  <si>
    <t>Full Production Years</t>
  </si>
  <si>
    <t>Spot Spray</t>
  </si>
  <si>
    <t>[1] Obtained from Hinman, H., 2001, "Cost of Producing Peppermint Under Rill and Central Pivot Irrigation Central Washington". Farm Business Management Reports, EB1921E. Washington State University, Pullman, WA.</t>
  </si>
  <si>
    <t>Cost Per Unit</t>
  </si>
  <si>
    <t>Units Per Acre</t>
  </si>
  <si>
    <t>Estimated production - establishment year (pounds of oil per acre) =</t>
  </si>
  <si>
    <t>lbs</t>
  </si>
  <si>
    <t>Establishment Year</t>
  </si>
  <si>
    <t>Fertilize - Dry (March)</t>
  </si>
  <si>
    <t>Custom Ground Dry Fertilizer Application</t>
  </si>
  <si>
    <t>Phosphate</t>
  </si>
  <si>
    <t>lb.</t>
  </si>
  <si>
    <t>Potash</t>
  </si>
  <si>
    <t>Sulfur</t>
  </si>
  <si>
    <t>Plant (March)</t>
  </si>
  <si>
    <t>Custom Planting of Peppermint Roots</t>
  </si>
  <si>
    <t>Peppermint Roots</t>
  </si>
  <si>
    <t>Irrigate (April-October)</t>
  </si>
  <si>
    <t>Water Charge</t>
  </si>
  <si>
    <t>Electricity Charge</t>
  </si>
  <si>
    <t>Fertigate (April-August)</t>
  </si>
  <si>
    <t>Nitrogen</t>
  </si>
  <si>
    <t>Spray (May-October)</t>
  </si>
  <si>
    <t>Field Border Spray Application</t>
  </si>
  <si>
    <t>Apply Herbicide (May)</t>
  </si>
  <si>
    <t>Custom Ground Herbicide Application</t>
  </si>
  <si>
    <t>oz.</t>
  </si>
  <si>
    <t>Crop Oil</t>
  </si>
  <si>
    <t>[2] Represents the cost incurred during the establishment year, minus the revenue during that year.  This cost must be recaptured during the full production years in order for an enterprise to be profitable.</t>
  </si>
  <si>
    <t>Residue Disposal (September)</t>
  </si>
  <si>
    <t>Land (rent per year per acre)</t>
  </si>
  <si>
    <t>Estimated production - full production year (pounds of oil per acre) =</t>
  </si>
  <si>
    <t>Full Production Year</t>
  </si>
  <si>
    <t>Apply Herbicide (February)</t>
  </si>
  <si>
    <t>Gramoxone Inteon®</t>
  </si>
  <si>
    <t>pt.</t>
  </si>
  <si>
    <t>Fertilize (March)</t>
  </si>
  <si>
    <t>Custom Ground Fertilizer Application</t>
  </si>
  <si>
    <t>Spot Spray (May)</t>
  </si>
  <si>
    <t>Stinger®</t>
  </si>
  <si>
    <r>
      <t>Apply Insecticide (June)</t>
    </r>
    <r>
      <rPr>
        <b/>
        <vertAlign val="superscript"/>
        <sz val="11"/>
        <color indexed="8"/>
        <rFont val="Times New Roman"/>
        <family val="1"/>
      </rPr>
      <t>[1]</t>
    </r>
  </si>
  <si>
    <t>Aerial Chemical Application</t>
  </si>
  <si>
    <t>Comite®</t>
  </si>
  <si>
    <t>qt</t>
  </si>
  <si>
    <t>Rally®</t>
  </si>
  <si>
    <t>Apply Herbicide (June)</t>
  </si>
  <si>
    <r>
      <t>Harvesting and Processing (July)</t>
    </r>
    <r>
      <rPr>
        <b/>
        <vertAlign val="superscript"/>
        <sz val="11"/>
        <color indexed="8"/>
        <rFont val="Times New Roman"/>
        <family val="1"/>
      </rPr>
      <t>[2]</t>
    </r>
  </si>
  <si>
    <t>Fertigate (July)</t>
  </si>
  <si>
    <t>Apply Herbicide (August)</t>
  </si>
  <si>
    <r>
      <t>Apply Insecticide (August)</t>
    </r>
    <r>
      <rPr>
        <b/>
        <vertAlign val="superscript"/>
        <sz val="11"/>
        <color indexed="8"/>
        <rFont val="Times New Roman"/>
        <family val="1"/>
      </rPr>
      <t>[3]</t>
    </r>
  </si>
  <si>
    <r>
      <t>Harvesting and Processing (September)</t>
    </r>
    <r>
      <rPr>
        <b/>
        <vertAlign val="superscript"/>
        <sz val="11"/>
        <color indexed="8"/>
        <rFont val="Times New Roman"/>
        <family val="1"/>
      </rPr>
      <t>[2]</t>
    </r>
  </si>
  <si>
    <t>Root Borer Control (September)</t>
  </si>
  <si>
    <t>gal.</t>
  </si>
  <si>
    <t>Residue Disposal (October)</t>
  </si>
  <si>
    <t>[1] Applied to 30% of the acreage.</t>
  </si>
  <si>
    <t>[2] See Assumption #6 in Intro Tab</t>
  </si>
  <si>
    <t>[3] Applied to 20% of the acreage.</t>
  </si>
  <si>
    <t>Prices for Selected Inputs</t>
  </si>
  <si>
    <t>Input</t>
  </si>
  <si>
    <t>Purpose</t>
  </si>
  <si>
    <t>Chemicals*</t>
  </si>
  <si>
    <t xml:space="preserve">Acramite®-50WS </t>
  </si>
  <si>
    <t>Insecticide</t>
  </si>
  <si>
    <t>/lb.</t>
  </si>
  <si>
    <t>Basagran® T/O</t>
  </si>
  <si>
    <t>Herbicide</t>
  </si>
  <si>
    <t>/gal.</t>
  </si>
  <si>
    <t>Chateau®</t>
  </si>
  <si>
    <t>Coragen®</t>
  </si>
  <si>
    <t>/oz</t>
  </si>
  <si>
    <t>Mocap®</t>
  </si>
  <si>
    <t>Nematicide</t>
  </si>
  <si>
    <t xml:space="preserve">Nitrogen </t>
  </si>
  <si>
    <t>Fertilizer</t>
  </si>
  <si>
    <t>Fungicide</t>
  </si>
  <si>
    <t>/oz.</t>
  </si>
  <si>
    <t>SELECT®</t>
  </si>
  <si>
    <t>Sinbar®</t>
  </si>
  <si>
    <t>Services</t>
  </si>
  <si>
    <t>/ac.</t>
  </si>
  <si>
    <t>Irrigation Water Charge</t>
  </si>
  <si>
    <t>Other</t>
  </si>
  <si>
    <t xml:space="preserve">Crop Insurance </t>
  </si>
  <si>
    <t>Diesel Fuel</t>
  </si>
  <si>
    <t>Gasoline</t>
  </si>
  <si>
    <t>/year/ac.</t>
  </si>
  <si>
    <t>Machine Labor</t>
  </si>
  <si>
    <t>/hr.</t>
  </si>
  <si>
    <t>Management Salary</t>
  </si>
  <si>
    <t>Residual Disposal, Establishment Year</t>
  </si>
  <si>
    <t>Residual Disposal, Full Production Year</t>
  </si>
  <si>
    <t>Hand Weeding Cost, First Year</t>
  </si>
  <si>
    <t>Basagran®</t>
  </si>
  <si>
    <t>Dollar Amount to be Prorated</t>
  </si>
  <si>
    <t>Number of Years</t>
  </si>
  <si>
    <t>Rip</t>
  </si>
  <si>
    <t>Disk (March), 2X</t>
  </si>
  <si>
    <t>With Toolbar</t>
  </si>
  <si>
    <t>Irrigation Labor, Center Pivot System</t>
  </si>
  <si>
    <r>
      <rPr>
        <vertAlign val="superscript"/>
        <sz val="11"/>
        <rFont val="Times New Roman"/>
        <family val="1"/>
      </rPr>
      <t>*</t>
    </r>
    <r>
      <rPr>
        <sz val="11"/>
        <rFont val="Times New Roman"/>
        <family val="1"/>
      </rPr>
      <t xml:space="preserve">Prices include consultant services </t>
    </r>
  </si>
  <si>
    <r>
      <t xml:space="preserve">Custom Planting of Peppermint Roots </t>
    </r>
    <r>
      <rPr>
        <sz val="8"/>
        <rFont val="Times New Roman"/>
        <family val="1"/>
      </rPr>
      <t>(including digging and hauling plants)</t>
    </r>
  </si>
  <si>
    <t>Amortized Establishment Cost</t>
  </si>
  <si>
    <t>[1] The full production year is representative of all the remaining years that peppermint is in full production (Year 2 to Year 4).</t>
  </si>
  <si>
    <t>[1] Assumes a production of Peppermint oil (pounds/acre) =</t>
  </si>
  <si>
    <t>Table 7PC. Data on Costs During an Establishment Year of a 100-Acre Peppermint Field Under Center Pivot Irrigation</t>
  </si>
  <si>
    <t>The annual irrigation water charge is $90 per acre. Electricity charge is $37.50 per acre.</t>
  </si>
  <si>
    <t>Estimated Production (pounds of oil)</t>
  </si>
  <si>
    <t>Total Returns</t>
  </si>
  <si>
    <t>Variable Costs</t>
  </si>
  <si>
    <t>Fixed Costs</t>
  </si>
  <si>
    <t>TOTAL COST</t>
  </si>
  <si>
    <t>ESTIMATED NET RETURNS</t>
  </si>
  <si>
    <t>Amortization Calculator</t>
  </si>
  <si>
    <t>Amortized Amount Per Year</t>
  </si>
  <si>
    <t xml:space="preserve">Total Variable Cost  </t>
  </si>
  <si>
    <t>Machinery Hours per Acre [1]</t>
  </si>
  <si>
    <t>Labor Hours per Acre</t>
  </si>
  <si>
    <t>Field Activities (cost of chemicals and application)</t>
  </si>
  <si>
    <t>Planting (cost of plants and labor)</t>
  </si>
  <si>
    <t>Break-even Price (per pound)</t>
  </si>
  <si>
    <t>Your  Break-even Price (per pound)</t>
  </si>
  <si>
    <t>Table 4PC. Machinery and building requirements of a 1000-acre farm, peppermint under center-pivot irrigation.</t>
  </si>
  <si>
    <t>Table 5PC. Per-hour machinery cost under center-pivot irrigation system.</t>
  </si>
  <si>
    <t>Table 8PC. Data on costs for a full production year of a 100-acre peppermint field under center-pivot irrigation.</t>
  </si>
  <si>
    <t>Price ($/unit)</t>
  </si>
  <si>
    <t>By R. Karina Gallardo and Suzette P. Galinato</t>
  </si>
  <si>
    <t>The value of bare land is $4,500 per acre with property taxes of $20 per acre. Rent for this land is $400 per acre for center pivot irrigated land, and is used in the budget as proxy for land ownership cost.</t>
  </si>
  <si>
    <r>
      <t>Table 2PC. Break-even Selling Prices Per Pound of Peppermint Oil Produced Under Center-Pivot Irrigation.</t>
    </r>
    <r>
      <rPr>
        <vertAlign val="superscript"/>
        <sz val="11"/>
        <color indexed="8"/>
        <rFont val="Times New Roman"/>
        <family val="1"/>
      </rPr>
      <t>[1]</t>
    </r>
  </si>
  <si>
    <t xml:space="preserve">Overhead </t>
  </si>
  <si>
    <t>Table 3PC. Estimated Net Returns Per Acre at Various Price and Yield Levels Under Center-Pivot Irrigation in a Full Production Year.</t>
  </si>
  <si>
    <t>Table 1PC. Cost Per Acre of Establishing and Producing Peppermint Under Center-Pivot Irrigation.</t>
  </si>
  <si>
    <t>Under Center-Pivot Irrigation in Central Washington</t>
  </si>
  <si>
    <r>
      <t>Full Production</t>
    </r>
    <r>
      <rPr>
        <vertAlign val="superscript"/>
        <sz val="11"/>
        <color indexed="8"/>
        <rFont val="Times New Roman"/>
        <family val="1"/>
      </rPr>
      <t>[1]</t>
    </r>
  </si>
  <si>
    <r>
      <t>Amortized Establishment Cost</t>
    </r>
    <r>
      <rPr>
        <vertAlign val="superscript"/>
        <sz val="11"/>
        <color indexed="8"/>
        <rFont val="Times New Roman"/>
        <family val="1"/>
      </rPr>
      <t>[2]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</si>
</sst>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quot;#,##0.00"/>
    <numFmt numFmtId="167" formatCode="&quot;$&quot;#,##0"/>
  </numFmts>
  <fonts count="63">
    <font>
      <sz val="11"/>
      <color indexed="8"/>
      <name val="Calibri"/>
      <family val="2"/>
    </font>
    <font>
      <b/>
      <sz val="10"/>
      <name val="Verdana"/>
      <family val="0"/>
    </font>
    <font>
      <i/>
      <sz val="10"/>
      <name val="Verdana"/>
      <family val="0"/>
    </font>
    <font>
      <b/>
      <i/>
      <sz val="10"/>
      <name val="Verdana"/>
      <family val="0"/>
    </font>
    <font>
      <b/>
      <sz val="14"/>
      <color indexed="8"/>
      <name val="Times New Roman"/>
      <family val="1"/>
    </font>
    <font>
      <sz val="11"/>
      <color indexed="8"/>
      <name val="Times New Roman"/>
      <family val="1"/>
    </font>
    <font>
      <b/>
      <sz val="11"/>
      <color indexed="8"/>
      <name val="Times New Roman"/>
      <family val="1"/>
    </font>
    <font>
      <b/>
      <sz val="11"/>
      <color indexed="10"/>
      <name val="Times New Roman"/>
      <family val="1"/>
    </font>
    <font>
      <sz val="11"/>
      <color indexed="53"/>
      <name val="Times New Roman"/>
      <family val="1"/>
    </font>
    <font>
      <sz val="11"/>
      <name val="Times New Roman"/>
      <family val="1"/>
    </font>
    <font>
      <u val="single"/>
      <sz val="11"/>
      <color indexed="8"/>
      <name val="Times New Roman"/>
      <family val="1"/>
    </font>
    <font>
      <vertAlign val="superscript"/>
      <sz val="10"/>
      <color indexed="8"/>
      <name val="Times New Roman"/>
      <family val="1"/>
    </font>
    <font>
      <sz val="9"/>
      <color indexed="8"/>
      <name val="Times New Roman"/>
      <family val="1"/>
    </font>
    <font>
      <vertAlign val="superscript"/>
      <sz val="8"/>
      <color indexed="8"/>
      <name val="Times New Roman"/>
      <family val="1"/>
    </font>
    <font>
      <b/>
      <sz val="11"/>
      <color indexed="53"/>
      <name val="Times New Roman"/>
      <family val="1"/>
    </font>
    <font>
      <b/>
      <u val="single"/>
      <sz val="11"/>
      <color indexed="8"/>
      <name val="Times New Roman"/>
      <family val="1"/>
    </font>
    <font>
      <b/>
      <sz val="12"/>
      <color indexed="8"/>
      <name val="Times New Roman"/>
      <family val="1"/>
    </font>
    <font>
      <b/>
      <sz val="11"/>
      <name val="Times New Roman"/>
      <family val="1"/>
    </font>
    <font>
      <sz val="10"/>
      <color indexed="8"/>
      <name val="Times New Roman"/>
      <family val="1"/>
    </font>
    <font>
      <b/>
      <vertAlign val="superscript"/>
      <sz val="11"/>
      <color indexed="8"/>
      <name val="Times New Roman"/>
      <family val="1"/>
    </font>
    <font>
      <vertAlign val="superscript"/>
      <sz val="11"/>
      <name val="Times New Roman"/>
      <family val="1"/>
    </font>
    <font>
      <u val="single"/>
      <sz val="11"/>
      <name val="Times New Roman"/>
      <family val="1"/>
    </font>
    <font>
      <sz val="8"/>
      <name val="Times New Roman"/>
      <family val="1"/>
    </font>
    <font>
      <b/>
      <sz val="10"/>
      <color indexed="53"/>
      <name val="Times New Roman"/>
      <family val="1"/>
    </font>
    <font>
      <vertAlign val="superscript"/>
      <sz val="11"/>
      <color indexed="8"/>
      <name val="Times New Roman"/>
      <family val="1"/>
    </font>
    <font>
      <sz val="12"/>
      <color indexed="8"/>
      <name val="Times New Roman"/>
      <family val="1"/>
    </font>
    <font>
      <u val="single"/>
      <sz val="11"/>
      <color indexed="12"/>
      <name val="Calibri"/>
      <family val="2"/>
    </font>
    <font>
      <u val="single"/>
      <sz val="11"/>
      <color indexed="20"/>
      <name val="Calibri"/>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8">
    <xf numFmtId="0" fontId="0" fillId="0" borderId="0" xfId="0" applyAlignment="1">
      <alignment/>
    </xf>
    <xf numFmtId="0" fontId="5" fillId="33" borderId="0" xfId="0" applyFont="1" applyFill="1" applyAlignment="1">
      <alignment/>
    </xf>
    <xf numFmtId="0" fontId="4" fillId="33" borderId="0" xfId="0" applyFont="1" applyFill="1" applyAlignment="1">
      <alignment horizontal="left"/>
    </xf>
    <xf numFmtId="0" fontId="6" fillId="33" borderId="0" xfId="0" applyFont="1" applyFill="1" applyAlignment="1">
      <alignment/>
    </xf>
    <xf numFmtId="0" fontId="7" fillId="33" borderId="0" xfId="0" applyFont="1" applyFill="1" applyAlignment="1">
      <alignment/>
    </xf>
    <xf numFmtId="0" fontId="5" fillId="33" borderId="0" xfId="0" applyFont="1" applyFill="1" applyBorder="1" applyAlignment="1" quotePrefix="1">
      <alignment horizontal="right" vertical="top" wrapText="1"/>
    </xf>
    <xf numFmtId="0" fontId="5" fillId="33" borderId="0" xfId="0" applyFont="1" applyFill="1" applyAlignment="1">
      <alignment horizontal="right"/>
    </xf>
    <xf numFmtId="10" fontId="5" fillId="33" borderId="0" xfId="59" applyNumberFormat="1" applyFont="1" applyFill="1" applyAlignment="1">
      <alignment/>
    </xf>
    <xf numFmtId="10" fontId="5" fillId="33" borderId="0" xfId="0" applyNumberFormat="1" applyFont="1" applyFill="1" applyAlignment="1">
      <alignment/>
    </xf>
    <xf numFmtId="0" fontId="5" fillId="33" borderId="0" xfId="0" applyFont="1" applyFill="1" applyBorder="1" applyAlignment="1" quotePrefix="1">
      <alignment horizontal="right" vertical="top"/>
    </xf>
    <xf numFmtId="0" fontId="5" fillId="33" borderId="0" xfId="0" applyFont="1" applyFill="1" applyAlignment="1">
      <alignment vertical="top"/>
    </xf>
    <xf numFmtId="0" fontId="5" fillId="33" borderId="0" xfId="0" applyFont="1" applyFill="1" applyBorder="1" applyAlignment="1" quotePrefix="1">
      <alignment horizontal="right"/>
    </xf>
    <xf numFmtId="0" fontId="5" fillId="33" borderId="0" xfId="0" applyFont="1" applyFill="1" applyAlignment="1" quotePrefix="1">
      <alignment horizontal="right"/>
    </xf>
    <xf numFmtId="0" fontId="5" fillId="33" borderId="0" xfId="0" applyFont="1" applyFill="1" applyBorder="1" applyAlignment="1">
      <alignment horizontal="left"/>
    </xf>
    <xf numFmtId="0" fontId="5" fillId="33" borderId="0" xfId="0" applyFont="1" applyFill="1" applyBorder="1" applyAlignment="1">
      <alignment/>
    </xf>
    <xf numFmtId="0" fontId="5" fillId="33" borderId="0" xfId="0" applyFont="1" applyFill="1" applyBorder="1" applyAlignment="1">
      <alignment vertical="top" wrapText="1"/>
    </xf>
    <xf numFmtId="0" fontId="5" fillId="33" borderId="0" xfId="0" applyFont="1" applyFill="1" applyBorder="1" applyAlignment="1">
      <alignment/>
    </xf>
    <xf numFmtId="0" fontId="5" fillId="33" borderId="0" xfId="0" applyFont="1" applyFill="1" applyAlignment="1" quotePrefix="1">
      <alignment horizontal="right" vertical="top"/>
    </xf>
    <xf numFmtId="0" fontId="0" fillId="33" borderId="0" xfId="0" applyFill="1" applyAlignment="1">
      <alignment/>
    </xf>
    <xf numFmtId="0" fontId="5" fillId="33"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vertical="center"/>
    </xf>
    <xf numFmtId="0" fontId="5" fillId="33" borderId="0" xfId="0" applyFont="1" applyFill="1" applyAlignment="1">
      <alignment horizontal="left" indent="2"/>
    </xf>
    <xf numFmtId="164" fontId="8" fillId="33" borderId="0" xfId="42" applyNumberFormat="1" applyFont="1" applyFill="1" applyBorder="1" applyAlignment="1">
      <alignment horizontal="center" wrapText="1"/>
    </xf>
    <xf numFmtId="43" fontId="5" fillId="33" borderId="0" xfId="0" applyNumberFormat="1" applyFont="1" applyFill="1" applyAlignment="1">
      <alignment/>
    </xf>
    <xf numFmtId="0" fontId="10" fillId="33" borderId="0" xfId="0" applyFont="1" applyFill="1" applyAlignment="1">
      <alignment/>
    </xf>
    <xf numFmtId="0" fontId="5" fillId="33" borderId="11" xfId="0" applyFont="1" applyFill="1" applyBorder="1" applyAlignment="1">
      <alignment/>
    </xf>
    <xf numFmtId="0" fontId="5" fillId="0" borderId="0" xfId="0" applyFont="1" applyAlignment="1">
      <alignment horizontal="left" indent="2"/>
    </xf>
    <xf numFmtId="49" fontId="5" fillId="33" borderId="0" xfId="0" applyNumberFormat="1" applyFont="1" applyFill="1" applyAlignment="1">
      <alignment horizontal="left" indent="2"/>
    </xf>
    <xf numFmtId="0" fontId="5" fillId="33" borderId="12" xfId="0" applyFont="1" applyFill="1" applyBorder="1" applyAlignment="1">
      <alignment/>
    </xf>
    <xf numFmtId="43" fontId="5" fillId="33" borderId="10" xfId="0" applyNumberFormat="1" applyFont="1" applyFill="1" applyBorder="1" applyAlignment="1">
      <alignment/>
    </xf>
    <xf numFmtId="43" fontId="5" fillId="33" borderId="0" xfId="0" applyNumberFormat="1" applyFont="1" applyFill="1" applyBorder="1" applyAlignment="1">
      <alignment/>
    </xf>
    <xf numFmtId="164" fontId="5" fillId="33" borderId="0" xfId="0" applyNumberFormat="1" applyFont="1" applyFill="1" applyAlignment="1">
      <alignment/>
    </xf>
    <xf numFmtId="0" fontId="6" fillId="33" borderId="0" xfId="0" applyFont="1" applyFill="1" applyBorder="1" applyAlignment="1">
      <alignment/>
    </xf>
    <xf numFmtId="0" fontId="6" fillId="33" borderId="13" xfId="0" applyFont="1" applyFill="1" applyBorder="1" applyAlignment="1">
      <alignment/>
    </xf>
    <xf numFmtId="0" fontId="5" fillId="33" borderId="13" xfId="0" applyFont="1" applyFill="1" applyBorder="1" applyAlignment="1">
      <alignment/>
    </xf>
    <xf numFmtId="43" fontId="5" fillId="33" borderId="13" xfId="0" applyNumberFormat="1" applyFont="1" applyFill="1" applyBorder="1" applyAlignment="1">
      <alignment/>
    </xf>
    <xf numFmtId="0" fontId="0" fillId="33" borderId="0" xfId="0" applyFill="1" applyAlignment="1">
      <alignment/>
    </xf>
    <xf numFmtId="0" fontId="5" fillId="33" borderId="14" xfId="0" applyFont="1" applyFill="1" applyBorder="1" applyAlignment="1">
      <alignment/>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11" fillId="33" borderId="0" xfId="0" applyFont="1" applyFill="1" applyBorder="1" applyAlignment="1">
      <alignment/>
    </xf>
    <xf numFmtId="0" fontId="5" fillId="33" borderId="0" xfId="0" applyFont="1" applyFill="1" applyAlignment="1" quotePrefix="1">
      <alignment horizontal="left" indent="2"/>
    </xf>
    <xf numFmtId="0" fontId="5" fillId="33" borderId="0" xfId="0" applyFont="1" applyFill="1" applyAlignment="1">
      <alignment horizontal="left" indent="8"/>
    </xf>
    <xf numFmtId="0" fontId="13" fillId="33" borderId="0" xfId="0" applyFont="1" applyFill="1" applyBorder="1" applyAlignment="1">
      <alignment/>
    </xf>
    <xf numFmtId="0" fontId="5" fillId="33" borderId="0" xfId="0" applyFont="1" applyFill="1" applyBorder="1" applyAlignment="1">
      <alignment horizontal="left" indent="2"/>
    </xf>
    <xf numFmtId="43" fontId="8" fillId="33" borderId="10" xfId="0" applyNumberFormat="1" applyFont="1" applyFill="1" applyBorder="1" applyAlignment="1">
      <alignment/>
    </xf>
    <xf numFmtId="0" fontId="8" fillId="33" borderId="0" xfId="0" applyFont="1" applyFill="1" applyBorder="1" applyAlignment="1">
      <alignment horizontal="center"/>
    </xf>
    <xf numFmtId="0" fontId="8" fillId="33" borderId="13" xfId="0" applyFont="1" applyFill="1" applyBorder="1" applyAlignment="1">
      <alignment horizontal="center"/>
    </xf>
    <xf numFmtId="9" fontId="8" fillId="33" borderId="0" xfId="0" applyNumberFormat="1" applyFont="1" applyFill="1" applyBorder="1" applyAlignment="1">
      <alignment horizontal="left"/>
    </xf>
    <xf numFmtId="9" fontId="8" fillId="33" borderId="0" xfId="0" applyNumberFormat="1" applyFont="1" applyFill="1" applyBorder="1" applyAlignment="1">
      <alignment/>
    </xf>
    <xf numFmtId="0" fontId="6" fillId="33" borderId="0" xfId="0" applyFont="1" applyFill="1" applyBorder="1" applyAlignment="1">
      <alignment wrapText="1"/>
    </xf>
    <xf numFmtId="0" fontId="6" fillId="33" borderId="10" xfId="0" applyFont="1" applyFill="1" applyBorder="1" applyAlignment="1">
      <alignment horizontal="left" wrapText="1"/>
    </xf>
    <xf numFmtId="0" fontId="6" fillId="33" borderId="10" xfId="0" applyFont="1" applyFill="1" applyBorder="1" applyAlignment="1">
      <alignment horizontal="center" wrapText="1"/>
    </xf>
    <xf numFmtId="0" fontId="6" fillId="33" borderId="0" xfId="0" applyFont="1" applyFill="1" applyBorder="1" applyAlignment="1">
      <alignment horizontal="center" wrapText="1"/>
    </xf>
    <xf numFmtId="0" fontId="5" fillId="33" borderId="0" xfId="0" applyFont="1" applyFill="1" applyBorder="1" applyAlignment="1">
      <alignment horizontal="left" wrapText="1"/>
    </xf>
    <xf numFmtId="164" fontId="8" fillId="33" borderId="0" xfId="42" applyNumberFormat="1" applyFont="1" applyFill="1" applyBorder="1" applyAlignment="1">
      <alignment horizontal="right" wrapText="1" indent="4"/>
    </xf>
    <xf numFmtId="164" fontId="8" fillId="33" borderId="0" xfId="42" applyNumberFormat="1" applyFont="1" applyFill="1" applyBorder="1" applyAlignment="1">
      <alignment horizontal="right" wrapText="1" indent="6"/>
    </xf>
    <xf numFmtId="164" fontId="5" fillId="33" borderId="0" xfId="42" applyNumberFormat="1" applyFont="1" applyFill="1" applyBorder="1" applyAlignment="1">
      <alignment/>
    </xf>
    <xf numFmtId="0" fontId="6" fillId="33" borderId="0" xfId="0" applyFont="1" applyFill="1" applyBorder="1" applyAlignment="1">
      <alignment horizontal="left" wrapText="1"/>
    </xf>
    <xf numFmtId="164" fontId="14" fillId="33" borderId="0" xfId="42" applyNumberFormat="1" applyFont="1" applyFill="1" applyBorder="1" applyAlignment="1">
      <alignment horizontal="right" wrapText="1" indent="4"/>
    </xf>
    <xf numFmtId="164" fontId="14" fillId="33" borderId="0" xfId="42" applyNumberFormat="1" applyFont="1" applyFill="1" applyBorder="1" applyAlignment="1">
      <alignment horizontal="right" wrapText="1" indent="6"/>
    </xf>
    <xf numFmtId="0" fontId="6" fillId="33" borderId="13" xfId="0" applyFont="1" applyFill="1" applyBorder="1" applyAlignment="1">
      <alignment horizontal="left" wrapText="1"/>
    </xf>
    <xf numFmtId="164" fontId="14" fillId="33" borderId="13" xfId="42" applyNumberFormat="1" applyFont="1" applyFill="1" applyBorder="1" applyAlignment="1">
      <alignment horizontal="right" wrapText="1" indent="4"/>
    </xf>
    <xf numFmtId="164" fontId="14" fillId="33" borderId="13" xfId="42" applyNumberFormat="1" applyFont="1" applyFill="1" applyBorder="1" applyAlignment="1">
      <alignment horizontal="right" wrapText="1" indent="6"/>
    </xf>
    <xf numFmtId="164" fontId="6" fillId="33" borderId="13" xfId="42" applyNumberFormat="1" applyFont="1" applyFill="1" applyBorder="1" applyAlignment="1">
      <alignment horizontal="right" wrapText="1" indent="5"/>
    </xf>
    <xf numFmtId="164" fontId="5" fillId="33" borderId="0" xfId="42" applyNumberFormat="1" applyFont="1" applyFill="1" applyBorder="1" applyAlignment="1">
      <alignment horizontal="center" wrapText="1"/>
    </xf>
    <xf numFmtId="164" fontId="6" fillId="33" borderId="0" xfId="42" applyNumberFormat="1" applyFont="1" applyFill="1" applyBorder="1" applyAlignment="1">
      <alignment horizontal="center" wrapText="1"/>
    </xf>
    <xf numFmtId="164" fontId="5" fillId="33" borderId="0" xfId="42" applyNumberFormat="1" applyFont="1" applyFill="1" applyAlignment="1">
      <alignment/>
    </xf>
    <xf numFmtId="0" fontId="9" fillId="33" borderId="0" xfId="0" applyFont="1" applyFill="1" applyBorder="1" applyAlignment="1">
      <alignment horizontal="left" wrapText="1"/>
    </xf>
    <xf numFmtId="3" fontId="8" fillId="33" borderId="0" xfId="0" applyNumberFormat="1" applyFont="1" applyFill="1" applyBorder="1" applyAlignment="1">
      <alignment horizontal="center" wrapText="1"/>
    </xf>
    <xf numFmtId="43" fontId="5" fillId="33" borderId="0" xfId="0" applyNumberFormat="1" applyFont="1" applyFill="1" applyBorder="1" applyAlignment="1">
      <alignment horizontal="center" wrapText="1"/>
    </xf>
    <xf numFmtId="4" fontId="5" fillId="33" borderId="0" xfId="0" applyNumberFormat="1" applyFont="1" applyFill="1" applyAlignment="1">
      <alignment horizontal="right" vertical="center" indent="4"/>
    </xf>
    <xf numFmtId="43" fontId="9" fillId="33" borderId="0" xfId="42" applyNumberFormat="1" applyFont="1" applyFill="1" applyAlignment="1">
      <alignment/>
    </xf>
    <xf numFmtId="164" fontId="8" fillId="33" borderId="0" xfId="42" applyNumberFormat="1" applyFont="1" applyFill="1" applyAlignment="1">
      <alignment horizontal="center"/>
    </xf>
    <xf numFmtId="0" fontId="8" fillId="33" borderId="0" xfId="42" applyNumberFormat="1" applyFont="1" applyFill="1" applyAlignment="1">
      <alignment horizontal="center"/>
    </xf>
    <xf numFmtId="0" fontId="5" fillId="33" borderId="0" xfId="0" applyFont="1" applyFill="1" applyBorder="1" applyAlignment="1">
      <alignment/>
    </xf>
    <xf numFmtId="3" fontId="8" fillId="33" borderId="0" xfId="0" applyNumberFormat="1" applyFont="1" applyFill="1" applyBorder="1" applyAlignment="1">
      <alignment horizontal="right" wrapText="1"/>
    </xf>
    <xf numFmtId="4" fontId="5" fillId="33" borderId="0" xfId="0" applyNumberFormat="1" applyFont="1" applyFill="1" applyBorder="1" applyAlignment="1">
      <alignment horizontal="right" vertical="center" indent="4"/>
    </xf>
    <xf numFmtId="164" fontId="8" fillId="33" borderId="0" xfId="42" applyNumberFormat="1" applyFont="1" applyFill="1" applyBorder="1" applyAlignment="1">
      <alignment/>
    </xf>
    <xf numFmtId="164" fontId="5" fillId="33" borderId="0" xfId="0" applyNumberFormat="1" applyFont="1" applyFill="1" applyBorder="1" applyAlignment="1">
      <alignment/>
    </xf>
    <xf numFmtId="9" fontId="8" fillId="33" borderId="0" xfId="59" applyNumberFormat="1" applyFont="1" applyFill="1" applyBorder="1" applyAlignment="1">
      <alignment horizontal="center" wrapText="1"/>
    </xf>
    <xf numFmtId="43" fontId="8" fillId="33" borderId="0" xfId="42" applyNumberFormat="1" applyFont="1" applyFill="1" applyBorder="1" applyAlignment="1">
      <alignment/>
    </xf>
    <xf numFmtId="9" fontId="8" fillId="33" borderId="0" xfId="59" applyFont="1" applyFill="1" applyBorder="1" applyAlignment="1">
      <alignment horizontal="center" wrapText="1"/>
    </xf>
    <xf numFmtId="0" fontId="5" fillId="33" borderId="13" xfId="0" applyFont="1" applyFill="1" applyBorder="1" applyAlignment="1">
      <alignment/>
    </xf>
    <xf numFmtId="3" fontId="8" fillId="33" borderId="13" xfId="0" applyNumberFormat="1" applyFont="1" applyFill="1" applyBorder="1" applyAlignment="1">
      <alignment horizontal="center" wrapText="1"/>
    </xf>
    <xf numFmtId="3" fontId="8" fillId="33" borderId="13" xfId="0" applyNumberFormat="1" applyFont="1" applyFill="1" applyBorder="1" applyAlignment="1">
      <alignment horizontal="right" wrapText="1"/>
    </xf>
    <xf numFmtId="43" fontId="5" fillId="33" borderId="13" xfId="0" applyNumberFormat="1" applyFont="1" applyFill="1" applyBorder="1" applyAlignment="1">
      <alignment horizontal="center" wrapText="1"/>
    </xf>
    <xf numFmtId="4" fontId="5" fillId="33" borderId="13" xfId="0" applyNumberFormat="1" applyFont="1" applyFill="1" applyBorder="1" applyAlignment="1">
      <alignment horizontal="right" vertical="center" indent="4"/>
    </xf>
    <xf numFmtId="43" fontId="8" fillId="33" borderId="13" xfId="42" applyNumberFormat="1" applyFont="1" applyFill="1" applyBorder="1" applyAlignment="1">
      <alignment/>
    </xf>
    <xf numFmtId="164" fontId="5" fillId="33" borderId="13" xfId="42" applyNumberFormat="1" applyFont="1" applyFill="1" applyBorder="1" applyAlignment="1">
      <alignment/>
    </xf>
    <xf numFmtId="164" fontId="8" fillId="33" borderId="13" xfId="42" applyNumberFormat="1" applyFont="1" applyFill="1" applyBorder="1" applyAlignment="1">
      <alignment/>
    </xf>
    <xf numFmtId="164" fontId="5" fillId="33" borderId="13" xfId="0" applyNumberFormat="1" applyFont="1" applyFill="1" applyBorder="1" applyAlignment="1">
      <alignment/>
    </xf>
    <xf numFmtId="0" fontId="15" fillId="33" borderId="0" xfId="0" applyFont="1" applyFill="1" applyBorder="1" applyAlignment="1">
      <alignment horizontal="left" wrapText="1"/>
    </xf>
    <xf numFmtId="4" fontId="8" fillId="33" borderId="0" xfId="0" applyNumberFormat="1" applyFont="1" applyFill="1" applyBorder="1" applyAlignment="1">
      <alignment horizontal="center" wrapText="1"/>
    </xf>
    <xf numFmtId="0" fontId="15" fillId="33" borderId="0" xfId="0" applyFont="1" applyFill="1" applyBorder="1" applyAlignment="1">
      <alignment/>
    </xf>
    <xf numFmtId="0" fontId="6" fillId="33" borderId="15" xfId="0" applyFont="1" applyFill="1" applyBorder="1" applyAlignment="1">
      <alignment horizontal="left" wrapText="1"/>
    </xf>
    <xf numFmtId="0" fontId="6" fillId="33" borderId="15" xfId="0" applyFont="1" applyFill="1" applyBorder="1" applyAlignment="1">
      <alignment horizontal="center" wrapText="1"/>
    </xf>
    <xf numFmtId="0" fontId="17" fillId="33" borderId="15" xfId="0" applyFont="1" applyFill="1" applyBorder="1" applyAlignment="1">
      <alignment horizontal="center" wrapText="1"/>
    </xf>
    <xf numFmtId="43" fontId="6" fillId="33" borderId="10" xfId="42" applyFont="1" applyFill="1" applyBorder="1" applyAlignment="1">
      <alignment horizontal="center" wrapText="1"/>
    </xf>
    <xf numFmtId="0" fontId="18" fillId="33" borderId="0" xfId="0" applyFont="1" applyFill="1" applyAlignment="1">
      <alignment horizontal="left" wrapText="1"/>
    </xf>
    <xf numFmtId="43" fontId="8" fillId="33" borderId="0" xfId="0" applyNumberFormat="1" applyFont="1" applyFill="1" applyAlignment="1">
      <alignment/>
    </xf>
    <xf numFmtId="0" fontId="15" fillId="33" borderId="0" xfId="0" applyFont="1" applyFill="1" applyAlignment="1">
      <alignment/>
    </xf>
    <xf numFmtId="2" fontId="5" fillId="33" borderId="0" xfId="0" applyNumberFormat="1" applyFont="1" applyFill="1" applyAlignment="1">
      <alignment/>
    </xf>
    <xf numFmtId="2" fontId="9" fillId="33" borderId="0" xfId="0" applyNumberFormat="1" applyFont="1" applyFill="1" applyAlignment="1">
      <alignment horizontal="center"/>
    </xf>
    <xf numFmtId="43" fontId="6" fillId="33" borderId="0" xfId="0" applyNumberFormat="1" applyFont="1" applyFill="1" applyAlignment="1">
      <alignment/>
    </xf>
    <xf numFmtId="43" fontId="17" fillId="33" borderId="0" xfId="0" applyNumberFormat="1" applyFont="1" applyFill="1" applyAlignment="1">
      <alignment horizontal="center"/>
    </xf>
    <xf numFmtId="43" fontId="5" fillId="33" borderId="0" xfId="0" applyNumberFormat="1" applyFont="1" applyFill="1" applyAlignment="1">
      <alignment/>
    </xf>
    <xf numFmtId="43" fontId="9" fillId="33" borderId="0" xfId="0" applyNumberFormat="1" applyFont="1" applyFill="1" applyAlignment="1">
      <alignment horizontal="center"/>
    </xf>
    <xf numFmtId="4" fontId="5" fillId="33" borderId="0" xfId="0" applyNumberFormat="1" applyFont="1" applyFill="1" applyAlignment="1">
      <alignment/>
    </xf>
    <xf numFmtId="43" fontId="5" fillId="33" borderId="0" xfId="0" applyNumberFormat="1" applyFont="1" applyFill="1" applyAlignment="1">
      <alignment horizontal="right"/>
    </xf>
    <xf numFmtId="43" fontId="9" fillId="33" borderId="0" xfId="0" applyNumberFormat="1" applyFont="1" applyFill="1" applyAlignment="1">
      <alignment/>
    </xf>
    <xf numFmtId="43" fontId="8" fillId="33" borderId="13" xfId="0" applyNumberFormat="1" applyFont="1" applyFill="1" applyBorder="1" applyAlignment="1">
      <alignment/>
    </xf>
    <xf numFmtId="43" fontId="9" fillId="33" borderId="13" xfId="0" applyNumberFormat="1" applyFont="1" applyFill="1" applyBorder="1" applyAlignment="1">
      <alignment horizontal="center"/>
    </xf>
    <xf numFmtId="43" fontId="9" fillId="33" borderId="0" xfId="0" applyNumberFormat="1" applyFont="1" applyFill="1" applyBorder="1" applyAlignment="1">
      <alignment horizontal="center"/>
    </xf>
    <xf numFmtId="43" fontId="5" fillId="33" borderId="0" xfId="42" applyNumberFormat="1" applyFont="1" applyFill="1" applyBorder="1" applyAlignment="1">
      <alignment/>
    </xf>
    <xf numFmtId="0" fontId="9" fillId="33" borderId="0" xfId="0" applyFont="1" applyFill="1" applyAlignment="1">
      <alignment horizontal="center"/>
    </xf>
    <xf numFmtId="43" fontId="5" fillId="33" borderId="0" xfId="42" applyFont="1" applyFill="1" applyAlignment="1">
      <alignment/>
    </xf>
    <xf numFmtId="165" fontId="8" fillId="33" borderId="0" xfId="0" applyNumberFormat="1" applyFont="1" applyFill="1" applyAlignment="1">
      <alignment/>
    </xf>
    <xf numFmtId="0" fontId="4" fillId="33" borderId="0" xfId="0" applyFont="1" applyFill="1" applyAlignment="1">
      <alignment/>
    </xf>
    <xf numFmtId="2" fontId="8" fillId="33" borderId="0" xfId="0" applyNumberFormat="1" applyFont="1" applyFill="1" applyAlignment="1">
      <alignment/>
    </xf>
    <xf numFmtId="0" fontId="5" fillId="33" borderId="0" xfId="0" applyFont="1" applyFill="1" applyBorder="1" applyAlignment="1" quotePrefix="1">
      <alignment/>
    </xf>
    <xf numFmtId="2" fontId="8" fillId="33" borderId="0" xfId="0" applyNumberFormat="1" applyFont="1" applyFill="1" applyBorder="1" applyAlignment="1">
      <alignment/>
    </xf>
    <xf numFmtId="0" fontId="5" fillId="33" borderId="0" xfId="0" applyFont="1" applyFill="1" applyAlignment="1" quotePrefix="1">
      <alignment/>
    </xf>
    <xf numFmtId="0" fontId="8" fillId="33" borderId="0" xfId="0" applyFont="1" applyFill="1" applyAlignment="1">
      <alignment/>
    </xf>
    <xf numFmtId="0" fontId="8" fillId="33" borderId="0" xfId="0" applyFont="1" applyFill="1" applyBorder="1" applyAlignment="1">
      <alignment/>
    </xf>
    <xf numFmtId="3" fontId="8" fillId="33" borderId="0" xfId="0" applyNumberFormat="1" applyFont="1" applyFill="1" applyBorder="1" applyAlignment="1">
      <alignment/>
    </xf>
    <xf numFmtId="0" fontId="8" fillId="33" borderId="10" xfId="0" applyFont="1" applyFill="1" applyBorder="1" applyAlignment="1">
      <alignment/>
    </xf>
    <xf numFmtId="4" fontId="5" fillId="33" borderId="0" xfId="0" applyNumberFormat="1" applyFont="1" applyFill="1" applyBorder="1" applyAlignment="1">
      <alignment horizontal="right" indent="1"/>
    </xf>
    <xf numFmtId="4" fontId="8" fillId="33" borderId="0" xfId="0" applyNumberFormat="1" applyFont="1" applyFill="1" applyBorder="1" applyAlignment="1">
      <alignment horizontal="right" indent="1"/>
    </xf>
    <xf numFmtId="43" fontId="5" fillId="33" borderId="16" xfId="0" applyNumberFormat="1" applyFont="1" applyFill="1" applyBorder="1" applyAlignment="1">
      <alignment/>
    </xf>
    <xf numFmtId="0" fontId="6" fillId="33" borderId="13" xfId="0" applyFont="1" applyFill="1" applyBorder="1" applyAlignment="1">
      <alignment horizontal="right"/>
    </xf>
    <xf numFmtId="43" fontId="6" fillId="33" borderId="0" xfId="0" applyNumberFormat="1" applyFont="1" applyFill="1" applyBorder="1" applyAlignment="1">
      <alignment/>
    </xf>
    <xf numFmtId="0" fontId="9" fillId="33" borderId="0" xfId="0" applyFont="1" applyFill="1" applyAlignment="1">
      <alignment/>
    </xf>
    <xf numFmtId="9" fontId="9" fillId="33" borderId="0" xfId="0" applyNumberFormat="1" applyFont="1" applyFill="1" applyAlignment="1">
      <alignment/>
    </xf>
    <xf numFmtId="0" fontId="21" fillId="33" borderId="0" xfId="0" applyFont="1" applyFill="1" applyAlignment="1">
      <alignment/>
    </xf>
    <xf numFmtId="0" fontId="9" fillId="33" borderId="0" xfId="0" applyFont="1" applyFill="1" applyBorder="1" applyAlignment="1">
      <alignment/>
    </xf>
    <xf numFmtId="0" fontId="9" fillId="33" borderId="10" xfId="0" applyFont="1" applyFill="1" applyBorder="1" applyAlignment="1">
      <alignment/>
    </xf>
    <xf numFmtId="0" fontId="18" fillId="33" borderId="0" xfId="0" applyFont="1" applyFill="1" applyAlignment="1">
      <alignment/>
    </xf>
    <xf numFmtId="0" fontId="9" fillId="33" borderId="17" xfId="0" applyFont="1" applyFill="1" applyBorder="1" applyAlignment="1">
      <alignment/>
    </xf>
    <xf numFmtId="0" fontId="5" fillId="33" borderId="18" xfId="0" applyFont="1" applyFill="1" applyBorder="1" applyAlignment="1">
      <alignment/>
    </xf>
    <xf numFmtId="0" fontId="5" fillId="33" borderId="16" xfId="0" applyFont="1" applyFill="1" applyBorder="1" applyAlignment="1">
      <alignment/>
    </xf>
    <xf numFmtId="0" fontId="6" fillId="33" borderId="12" xfId="0" applyFont="1" applyFill="1" applyBorder="1" applyAlignment="1">
      <alignment/>
    </xf>
    <xf numFmtId="0" fontId="23" fillId="33" borderId="0" xfId="0" applyFont="1" applyFill="1" applyAlignment="1">
      <alignment horizontal="left"/>
    </xf>
    <xf numFmtId="166" fontId="6" fillId="33" borderId="0" xfId="0" applyNumberFormat="1" applyFont="1" applyFill="1" applyAlignment="1">
      <alignment/>
    </xf>
    <xf numFmtId="166" fontId="5" fillId="33" borderId="0" xfId="0" applyNumberFormat="1" applyFont="1" applyFill="1" applyAlignment="1">
      <alignment/>
    </xf>
    <xf numFmtId="166" fontId="5" fillId="33" borderId="0" xfId="0" applyNumberFormat="1" applyFont="1" applyFill="1" applyAlignment="1" quotePrefix="1">
      <alignment/>
    </xf>
    <xf numFmtId="166" fontId="5" fillId="33" borderId="10" xfId="0" applyNumberFormat="1" applyFont="1" applyFill="1" applyBorder="1" applyAlignment="1">
      <alignment/>
    </xf>
    <xf numFmtId="166" fontId="5" fillId="33" borderId="0" xfId="0" applyNumberFormat="1" applyFont="1" applyFill="1" applyBorder="1" applyAlignment="1">
      <alignment/>
    </xf>
    <xf numFmtId="166" fontId="6" fillId="33" borderId="0" xfId="0" applyNumberFormat="1" applyFont="1" applyFill="1" applyBorder="1" applyAlignment="1">
      <alignment/>
    </xf>
    <xf numFmtId="166" fontId="6" fillId="33" borderId="13" xfId="0" applyNumberFormat="1" applyFont="1" applyFill="1" applyBorder="1" applyAlignment="1">
      <alignment/>
    </xf>
    <xf numFmtId="166" fontId="8" fillId="33" borderId="10" xfId="42" applyNumberFormat="1" applyFont="1" applyFill="1" applyBorder="1" applyAlignment="1">
      <alignment horizontal="right" wrapText="1"/>
    </xf>
    <xf numFmtId="166" fontId="8" fillId="33" borderId="0" xfId="42" applyNumberFormat="1" applyFont="1" applyFill="1" applyBorder="1" applyAlignment="1">
      <alignment horizontal="right" wrapText="1"/>
    </xf>
    <xf numFmtId="166" fontId="5" fillId="33" borderId="0" xfId="0" applyNumberFormat="1" applyFont="1" applyFill="1" applyBorder="1" applyAlignment="1">
      <alignment horizontal="right" indent="1"/>
    </xf>
    <xf numFmtId="166" fontId="5" fillId="33" borderId="10" xfId="0" applyNumberFormat="1" applyFont="1" applyFill="1" applyBorder="1" applyAlignment="1">
      <alignment horizontal="right" indent="1"/>
    </xf>
    <xf numFmtId="166" fontId="5" fillId="33" borderId="0" xfId="0" applyNumberFormat="1" applyFont="1" applyFill="1" applyAlignment="1">
      <alignment/>
    </xf>
    <xf numFmtId="166" fontId="6" fillId="33" borderId="0" xfId="0" applyNumberFormat="1" applyFont="1" applyFill="1" applyAlignment="1">
      <alignment/>
    </xf>
    <xf numFmtId="166" fontId="5" fillId="33" borderId="0" xfId="0" applyNumberFormat="1" applyFont="1" applyFill="1" applyAlignment="1">
      <alignment horizontal="right"/>
    </xf>
    <xf numFmtId="166" fontId="5" fillId="33" borderId="13" xfId="0" applyNumberFormat="1" applyFont="1" applyFill="1" applyBorder="1" applyAlignment="1">
      <alignment/>
    </xf>
    <xf numFmtId="166" fontId="5" fillId="33" borderId="0" xfId="42" applyNumberFormat="1" applyFont="1" applyFill="1" applyAlignment="1">
      <alignment horizontal="right"/>
    </xf>
    <xf numFmtId="166" fontId="14" fillId="33" borderId="0" xfId="0" applyNumberFormat="1" applyFont="1" applyFill="1" applyAlignment="1">
      <alignment/>
    </xf>
    <xf numFmtId="166" fontId="6" fillId="33" borderId="0" xfId="42" applyNumberFormat="1" applyFont="1" applyFill="1" applyAlignment="1">
      <alignment horizontal="right"/>
    </xf>
    <xf numFmtId="166" fontId="9" fillId="33" borderId="0" xfId="0" applyNumberFormat="1" applyFont="1" applyFill="1" applyAlignment="1">
      <alignment horizontal="right"/>
    </xf>
    <xf numFmtId="166" fontId="14" fillId="33" borderId="0" xfId="0" applyNumberFormat="1" applyFont="1" applyFill="1" applyAlignment="1">
      <alignment horizontal="right"/>
    </xf>
    <xf numFmtId="166" fontId="9" fillId="33" borderId="0" xfId="0" applyNumberFormat="1" applyFont="1" applyFill="1" applyBorder="1" applyAlignment="1">
      <alignment horizontal="right"/>
    </xf>
    <xf numFmtId="166" fontId="9" fillId="33" borderId="13" xfId="0" applyNumberFormat="1" applyFont="1" applyFill="1" applyBorder="1" applyAlignment="1">
      <alignment horizontal="right"/>
    </xf>
    <xf numFmtId="166" fontId="6" fillId="33" borderId="13" xfId="42" applyNumberFormat="1" applyFont="1" applyFill="1" applyBorder="1" applyAlignment="1">
      <alignment horizontal="right"/>
    </xf>
    <xf numFmtId="166" fontId="5" fillId="33" borderId="13" xfId="0" applyNumberFormat="1" applyFont="1" applyFill="1" applyBorder="1" applyAlignment="1">
      <alignment/>
    </xf>
    <xf numFmtId="166" fontId="5" fillId="33" borderId="0" xfId="0" applyNumberFormat="1" applyFont="1" applyFill="1" applyBorder="1" applyAlignment="1">
      <alignment horizontal="center" vertical="center"/>
    </xf>
    <xf numFmtId="166" fontId="5" fillId="33" borderId="0" xfId="0" applyNumberFormat="1" applyFont="1" applyFill="1" applyBorder="1" applyAlignment="1">
      <alignment horizontal="center" vertical="center" wrapText="1"/>
    </xf>
    <xf numFmtId="166" fontId="5" fillId="33" borderId="0" xfId="0" applyNumberFormat="1" applyFont="1" applyFill="1" applyBorder="1" applyAlignment="1">
      <alignment horizontal="left" indent="4"/>
    </xf>
    <xf numFmtId="166" fontId="5" fillId="33" borderId="0" xfId="0" applyNumberFormat="1" applyFont="1" applyFill="1" applyBorder="1" applyAlignment="1">
      <alignment/>
    </xf>
    <xf numFmtId="166" fontId="5" fillId="33" borderId="0" xfId="0" applyNumberFormat="1" applyFont="1" applyFill="1" applyAlignment="1">
      <alignment horizontal="left" indent="4"/>
    </xf>
    <xf numFmtId="166" fontId="12" fillId="33" borderId="0" xfId="0" applyNumberFormat="1" applyFont="1" applyFill="1" applyAlignment="1">
      <alignment horizontal="left" indent="4"/>
    </xf>
    <xf numFmtId="166" fontId="5" fillId="33" borderId="12" xfId="0" applyNumberFormat="1" applyFont="1" applyFill="1" applyBorder="1" applyAlignment="1">
      <alignment/>
    </xf>
    <xf numFmtId="166" fontId="12" fillId="33" borderId="0" xfId="0" applyNumberFormat="1" applyFont="1" applyFill="1" applyAlignment="1">
      <alignment horizontal="left" indent="5"/>
    </xf>
    <xf numFmtId="166" fontId="12" fillId="33" borderId="0" xfId="0" applyNumberFormat="1" applyFont="1" applyFill="1" applyAlignment="1">
      <alignment/>
    </xf>
    <xf numFmtId="166" fontId="5" fillId="33" borderId="0" xfId="0" applyNumberFormat="1" applyFont="1" applyFill="1" applyBorder="1" applyAlignment="1">
      <alignment horizontal="left" indent="5"/>
    </xf>
    <xf numFmtId="166" fontId="5" fillId="33" borderId="11" xfId="0" applyNumberFormat="1" applyFont="1" applyFill="1" applyBorder="1" applyAlignment="1">
      <alignment/>
    </xf>
    <xf numFmtId="166" fontId="12" fillId="33" borderId="0" xfId="0" applyNumberFormat="1" applyFont="1" applyFill="1" applyBorder="1" applyAlignment="1">
      <alignment horizontal="left" indent="4"/>
    </xf>
    <xf numFmtId="166" fontId="12" fillId="33" borderId="0" xfId="0" applyNumberFormat="1" applyFont="1" applyFill="1" applyBorder="1" applyAlignment="1">
      <alignment/>
    </xf>
    <xf numFmtId="166" fontId="5" fillId="33" borderId="13" xfId="0" applyNumberFormat="1" applyFont="1" applyFill="1" applyBorder="1" applyAlignment="1">
      <alignment horizontal="left" indent="4"/>
    </xf>
    <xf numFmtId="166" fontId="5" fillId="33" borderId="13" xfId="0" applyNumberFormat="1" applyFont="1" applyFill="1" applyBorder="1" applyAlignment="1">
      <alignment horizontal="left" indent="5"/>
    </xf>
    <xf numFmtId="7" fontId="8" fillId="33" borderId="10" xfId="0" applyNumberFormat="1" applyFont="1" applyFill="1" applyBorder="1" applyAlignment="1">
      <alignment/>
    </xf>
    <xf numFmtId="7" fontId="5" fillId="33" borderId="0" xfId="0" applyNumberFormat="1" applyFont="1" applyFill="1" applyBorder="1" applyAlignment="1">
      <alignment/>
    </xf>
    <xf numFmtId="7" fontId="5" fillId="33" borderId="16" xfId="0" applyNumberFormat="1" applyFont="1" applyFill="1" applyBorder="1" applyAlignment="1">
      <alignment/>
    </xf>
    <xf numFmtId="7" fontId="5" fillId="33" borderId="13" xfId="0" applyNumberFormat="1" applyFont="1" applyFill="1" applyBorder="1" applyAlignment="1">
      <alignment/>
    </xf>
    <xf numFmtId="5" fontId="8" fillId="33" borderId="0" xfId="42" applyNumberFormat="1" applyFont="1" applyFill="1" applyBorder="1" applyAlignment="1">
      <alignment horizontal="right" wrapText="1" indent="4"/>
    </xf>
    <xf numFmtId="5" fontId="5" fillId="33" borderId="0" xfId="42" applyNumberFormat="1" applyFont="1" applyFill="1" applyBorder="1" applyAlignment="1">
      <alignment horizontal="right" wrapText="1" indent="5"/>
    </xf>
    <xf numFmtId="5" fontId="6" fillId="33" borderId="16" xfId="42" applyNumberFormat="1" applyFont="1" applyFill="1" applyBorder="1" applyAlignment="1">
      <alignment horizontal="right" wrapText="1" indent="5"/>
    </xf>
    <xf numFmtId="167" fontId="8" fillId="33" borderId="0" xfId="0" applyNumberFormat="1" applyFont="1" applyFill="1" applyBorder="1" applyAlignment="1">
      <alignment horizontal="center" wrapText="1"/>
    </xf>
    <xf numFmtId="166" fontId="5" fillId="33" borderId="0" xfId="0" applyNumberFormat="1" applyFont="1" applyFill="1" applyBorder="1" applyAlignment="1">
      <alignment horizontal="right" vertical="center" indent="4"/>
    </xf>
    <xf numFmtId="166" fontId="5" fillId="33" borderId="0" xfId="0" applyNumberFormat="1" applyFont="1" applyFill="1" applyAlignment="1">
      <alignment horizontal="right" vertical="center" indent="4"/>
    </xf>
    <xf numFmtId="166" fontId="8" fillId="33" borderId="0" xfId="42" applyNumberFormat="1" applyFont="1" applyFill="1" applyAlignment="1">
      <alignment/>
    </xf>
    <xf numFmtId="166" fontId="9" fillId="33" borderId="0" xfId="42" applyNumberFormat="1" applyFont="1" applyFill="1" applyAlignment="1">
      <alignment/>
    </xf>
    <xf numFmtId="7" fontId="5" fillId="33" borderId="0" xfId="0" applyNumberFormat="1" applyFont="1" applyFill="1" applyAlignment="1">
      <alignment/>
    </xf>
    <xf numFmtId="7" fontId="6" fillId="33" borderId="13" xfId="0" applyNumberFormat="1" applyFont="1" applyFill="1" applyBorder="1" applyAlignment="1">
      <alignment/>
    </xf>
    <xf numFmtId="0" fontId="6" fillId="33" borderId="13" xfId="0" applyFont="1" applyFill="1" applyBorder="1" applyAlignment="1">
      <alignment horizontal="left"/>
    </xf>
    <xf numFmtId="0" fontId="25" fillId="33" borderId="0" xfId="0" applyFont="1" applyFill="1" applyAlignment="1">
      <alignment/>
    </xf>
    <xf numFmtId="0" fontId="5" fillId="33" borderId="10" xfId="0" applyFont="1" applyFill="1" applyBorder="1" applyAlignment="1">
      <alignment horizontal="right"/>
    </xf>
    <xf numFmtId="0" fontId="18" fillId="33" borderId="0" xfId="0" applyFont="1" applyFill="1" applyBorder="1" applyAlignment="1">
      <alignment wrapText="1"/>
    </xf>
    <xf numFmtId="0" fontId="12" fillId="33" borderId="0" xfId="0" applyFont="1" applyFill="1" applyAlignment="1">
      <alignment horizontal="left" indent="2"/>
    </xf>
    <xf numFmtId="0" fontId="12" fillId="33" borderId="0" xfId="0" applyFont="1" applyFill="1" applyAlignment="1">
      <alignment horizontal="left" indent="8"/>
    </xf>
    <xf numFmtId="0" fontId="12" fillId="33" borderId="0" xfId="0" applyFont="1" applyFill="1" applyBorder="1" applyAlignment="1">
      <alignment horizontal="left" indent="2"/>
    </xf>
    <xf numFmtId="0" fontId="5" fillId="33" borderId="0" xfId="0" applyFont="1" applyFill="1" applyBorder="1" applyAlignment="1">
      <alignment horizontal="left" vertical="top" wrapText="1"/>
    </xf>
    <xf numFmtId="0" fontId="5" fillId="33" borderId="0" xfId="0" applyFont="1" applyFill="1" applyAlignment="1">
      <alignment vertical="top" wrapText="1"/>
    </xf>
    <xf numFmtId="0" fontId="0" fillId="33" borderId="0" xfId="0" applyFill="1" applyAlignment="1">
      <alignment vertical="top" wrapText="1"/>
    </xf>
    <xf numFmtId="0" fontId="0" fillId="33" borderId="0" xfId="0" applyFill="1" applyAlignment="1">
      <alignment/>
    </xf>
    <xf numFmtId="0" fontId="4" fillId="33" borderId="0" xfId="0" applyFont="1" applyFill="1" applyBorder="1" applyAlignment="1">
      <alignment horizontal="left" wrapText="1"/>
    </xf>
    <xf numFmtId="0" fontId="5" fillId="33" borderId="0" xfId="0" applyFont="1" applyFill="1" applyBorder="1" applyAlignment="1" quotePrefix="1">
      <alignment horizontal="right" vertical="top" wrapText="1"/>
    </xf>
    <xf numFmtId="0" fontId="5" fillId="33" borderId="0" xfId="0" applyFont="1" applyFill="1" applyAlignment="1">
      <alignment horizontal="left" vertical="top" wrapText="1"/>
    </xf>
    <xf numFmtId="0" fontId="5" fillId="33" borderId="0" xfId="0" applyFont="1" applyFill="1" applyAlignment="1">
      <alignment vertical="top" wrapText="1"/>
    </xf>
    <xf numFmtId="0" fontId="5" fillId="33" borderId="0" xfId="0" applyFont="1" applyFill="1" applyBorder="1" applyAlignment="1">
      <alignment horizontal="left" wrapText="1"/>
    </xf>
    <xf numFmtId="0" fontId="6" fillId="33" borderId="13" xfId="0" applyFont="1" applyFill="1" applyBorder="1" applyAlignment="1">
      <alignment horizontal="left"/>
    </xf>
    <xf numFmtId="0" fontId="5" fillId="33" borderId="0" xfId="0" applyFont="1" applyFill="1" applyBorder="1" applyAlignment="1">
      <alignment horizontal="left" vertical="top" wrapText="1"/>
    </xf>
    <xf numFmtId="0" fontId="5" fillId="33" borderId="14" xfId="0" applyFont="1" applyFill="1" applyBorder="1" applyAlignment="1">
      <alignment horizontal="center"/>
    </xf>
    <xf numFmtId="0" fontId="6" fillId="33" borderId="10" xfId="0" applyFont="1" applyFill="1" applyBorder="1" applyAlignment="1">
      <alignment horizontal="left" wrapText="1"/>
    </xf>
    <xf numFmtId="0" fontId="6" fillId="33" borderId="19" xfId="0" applyFont="1" applyFill="1" applyBorder="1" applyAlignment="1">
      <alignment horizontal="center" wrapText="1"/>
    </xf>
    <xf numFmtId="0" fontId="6" fillId="33" borderId="10" xfId="0" applyFont="1" applyFill="1" applyBorder="1" applyAlignment="1">
      <alignment horizontal="center" wrapText="1"/>
    </xf>
    <xf numFmtId="0" fontId="6" fillId="33" borderId="15" xfId="0" applyFont="1" applyFill="1" applyBorder="1" applyAlignment="1">
      <alignment horizontal="center" wrapText="1"/>
    </xf>
    <xf numFmtId="0" fontId="6" fillId="33" borderId="13" xfId="0" applyFont="1" applyFill="1" applyBorder="1" applyAlignment="1">
      <alignment horizontal="left" wrapText="1"/>
    </xf>
    <xf numFmtId="0" fontId="5" fillId="33" borderId="15" xfId="0" applyFont="1" applyFill="1" applyBorder="1" applyAlignment="1">
      <alignment horizontal="center" wrapText="1"/>
    </xf>
    <xf numFmtId="0" fontId="16" fillId="33" borderId="10" xfId="0" applyFont="1" applyFill="1" applyBorder="1" applyAlignment="1">
      <alignment horizontal="left"/>
    </xf>
    <xf numFmtId="0" fontId="4" fillId="33" borderId="13" xfId="0" applyFont="1" applyFill="1" applyBorder="1" applyAlignment="1">
      <alignment horizontal="left" wrapText="1"/>
    </xf>
    <xf numFmtId="0" fontId="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35"/>
  <sheetViews>
    <sheetView tabSelected="1" workbookViewId="0" topLeftCell="A12">
      <selection activeCell="C12" sqref="C12:K12"/>
    </sheetView>
  </sheetViews>
  <sheetFormatPr defaultColWidth="9.140625" defaultRowHeight="15"/>
  <cols>
    <col min="1" max="1" width="5.7109375" style="1" customWidth="1"/>
    <col min="2" max="2" width="5.8515625" style="1" customWidth="1"/>
    <col min="3" max="10" width="9.8515625" style="1" customWidth="1"/>
    <col min="11" max="11" width="11.8515625" style="1" bestFit="1" customWidth="1"/>
    <col min="12" max="16384" width="9.140625" style="1" customWidth="1"/>
  </cols>
  <sheetData>
    <row r="2" spans="2:12" ht="18.75" customHeight="1">
      <c r="B2" s="211" t="s">
        <v>6</v>
      </c>
      <c r="C2" s="211"/>
      <c r="D2" s="211"/>
      <c r="E2" s="211"/>
      <c r="F2" s="211"/>
      <c r="G2" s="211"/>
      <c r="H2" s="211"/>
      <c r="I2" s="211"/>
      <c r="J2" s="211"/>
      <c r="K2" s="211"/>
      <c r="L2" s="211"/>
    </row>
    <row r="3" ht="15" customHeight="1">
      <c r="B3" s="2" t="s">
        <v>260</v>
      </c>
    </row>
    <row r="4" ht="15">
      <c r="B4" s="201" t="s">
        <v>254</v>
      </c>
    </row>
    <row r="6" ht="12.75">
      <c r="B6" s="3" t="s">
        <v>7</v>
      </c>
    </row>
    <row r="7" spans="2:12" ht="15" customHeight="1">
      <c r="B7" s="212" t="s">
        <v>8</v>
      </c>
      <c r="C7" s="213" t="s">
        <v>33</v>
      </c>
      <c r="D7" s="213"/>
      <c r="E7" s="213"/>
      <c r="F7" s="213"/>
      <c r="G7" s="213"/>
      <c r="H7" s="213"/>
      <c r="I7" s="213"/>
      <c r="J7" s="213"/>
      <c r="K7" s="213"/>
      <c r="L7" s="4"/>
    </row>
    <row r="8" spans="2:11" ht="12.75">
      <c r="B8" s="212"/>
      <c r="C8" s="213"/>
      <c r="D8" s="213"/>
      <c r="E8" s="213"/>
      <c r="F8" s="213"/>
      <c r="G8" s="213"/>
      <c r="H8" s="213"/>
      <c r="I8" s="213"/>
      <c r="J8" s="213"/>
      <c r="K8" s="213"/>
    </row>
    <row r="9" spans="2:11" ht="12.75">
      <c r="B9" s="212"/>
      <c r="C9" s="213"/>
      <c r="D9" s="213"/>
      <c r="E9" s="213"/>
      <c r="F9" s="213"/>
      <c r="G9" s="213"/>
      <c r="H9" s="213"/>
      <c r="I9" s="213"/>
      <c r="J9" s="213"/>
      <c r="K9" s="213"/>
    </row>
    <row r="10" spans="2:11" ht="12.75">
      <c r="B10" s="5"/>
      <c r="C10" s="213"/>
      <c r="D10" s="213"/>
      <c r="E10" s="213"/>
      <c r="F10" s="213"/>
      <c r="G10" s="213"/>
      <c r="H10" s="213"/>
      <c r="I10" s="213"/>
      <c r="J10" s="213"/>
      <c r="K10" s="213"/>
    </row>
    <row r="11" spans="2:5" ht="15" customHeight="1">
      <c r="B11" s="6"/>
      <c r="C11" s="7"/>
      <c r="E11" s="8"/>
    </row>
    <row r="12" spans="2:11" s="10" customFormat="1" ht="45.75" customHeight="1">
      <c r="B12" s="9" t="s">
        <v>9</v>
      </c>
      <c r="C12" s="214" t="s">
        <v>255</v>
      </c>
      <c r="D12" s="214"/>
      <c r="E12" s="214"/>
      <c r="F12" s="214"/>
      <c r="G12" s="214"/>
      <c r="H12" s="214"/>
      <c r="I12" s="214"/>
      <c r="J12" s="214"/>
      <c r="K12" s="214"/>
    </row>
    <row r="13" spans="2:11" ht="15" customHeight="1">
      <c r="B13" s="12" t="s">
        <v>10</v>
      </c>
      <c r="C13" s="13" t="s">
        <v>11</v>
      </c>
      <c r="D13" s="13"/>
      <c r="E13" s="13"/>
      <c r="F13" s="13"/>
      <c r="G13" s="13"/>
      <c r="H13" s="13"/>
      <c r="I13" s="13"/>
      <c r="J13" s="13"/>
      <c r="K13" s="13"/>
    </row>
    <row r="14" spans="3:11" ht="15" customHeight="1">
      <c r="C14" s="13"/>
      <c r="D14" s="13"/>
      <c r="E14" s="13"/>
      <c r="F14" s="13"/>
      <c r="G14" s="13"/>
      <c r="H14" s="13"/>
      <c r="I14" s="13"/>
      <c r="J14" s="13"/>
      <c r="K14" s="13"/>
    </row>
    <row r="15" spans="2:11" ht="15" customHeight="1">
      <c r="B15" s="11" t="s">
        <v>12</v>
      </c>
      <c r="C15" s="14" t="s">
        <v>234</v>
      </c>
      <c r="D15" s="14"/>
      <c r="E15" s="15"/>
      <c r="F15" s="15"/>
      <c r="G15" s="15"/>
      <c r="H15" s="15"/>
      <c r="I15" s="15"/>
      <c r="J15" s="15"/>
      <c r="K15" s="15"/>
    </row>
    <row r="16" spans="2:11" ht="12.75">
      <c r="B16" s="6"/>
      <c r="C16" s="14"/>
      <c r="D16" s="14"/>
      <c r="E16" s="15"/>
      <c r="F16" s="15"/>
      <c r="G16" s="15"/>
      <c r="H16" s="15"/>
      <c r="I16" s="15"/>
      <c r="J16" s="15"/>
      <c r="K16" s="14"/>
    </row>
    <row r="17" spans="2:11" ht="12.75">
      <c r="B17" s="11" t="s">
        <v>13</v>
      </c>
      <c r="C17" s="16" t="s">
        <v>14</v>
      </c>
      <c r="D17" s="16"/>
      <c r="E17" s="16"/>
      <c r="F17" s="16"/>
      <c r="G17" s="16"/>
      <c r="H17" s="16"/>
      <c r="I17" s="16"/>
      <c r="J17" s="16"/>
      <c r="K17" s="16"/>
    </row>
    <row r="18" spans="2:11" ht="12.75">
      <c r="B18" s="6"/>
      <c r="C18" s="14"/>
      <c r="D18" s="14"/>
      <c r="E18" s="15"/>
      <c r="F18" s="15"/>
      <c r="G18" s="15"/>
      <c r="H18" s="15"/>
      <c r="I18" s="15"/>
      <c r="J18" s="15"/>
      <c r="K18" s="14"/>
    </row>
    <row r="19" spans="2:11" ht="48.75" customHeight="1">
      <c r="B19" s="9" t="s">
        <v>15</v>
      </c>
      <c r="C19" s="207" t="s">
        <v>16</v>
      </c>
      <c r="D19" s="207"/>
      <c r="E19" s="207"/>
      <c r="F19" s="207"/>
      <c r="G19" s="207"/>
      <c r="H19" s="207"/>
      <c r="I19" s="207"/>
      <c r="J19" s="207"/>
      <c r="K19" s="207"/>
    </row>
    <row r="20" spans="2:11" ht="12.75">
      <c r="B20" s="6"/>
      <c r="C20" s="14"/>
      <c r="D20" s="14"/>
      <c r="E20" s="15"/>
      <c r="F20" s="15"/>
      <c r="G20" s="15"/>
      <c r="H20" s="15"/>
      <c r="I20" s="15"/>
      <c r="J20" s="15"/>
      <c r="K20" s="14"/>
    </row>
    <row r="21" spans="2:11" ht="12.75">
      <c r="B21" s="11" t="s">
        <v>17</v>
      </c>
      <c r="C21" s="14" t="s">
        <v>18</v>
      </c>
      <c r="D21" s="14"/>
      <c r="E21" s="15"/>
      <c r="F21" s="15"/>
      <c r="G21" s="15"/>
      <c r="H21" s="15"/>
      <c r="I21" s="15"/>
      <c r="J21" s="15"/>
      <c r="K21" s="14"/>
    </row>
    <row r="22" spans="2:11" ht="12.75">
      <c r="B22" s="6"/>
      <c r="C22" s="14"/>
      <c r="D22" s="14"/>
      <c r="E22" s="15"/>
      <c r="F22" s="15"/>
      <c r="G22" s="15"/>
      <c r="H22" s="15"/>
      <c r="I22" s="15"/>
      <c r="J22" s="15"/>
      <c r="K22" s="14"/>
    </row>
    <row r="23" spans="2:11" ht="12.75">
      <c r="B23" s="11" t="s">
        <v>19</v>
      </c>
      <c r="C23" s="215" t="s">
        <v>20</v>
      </c>
      <c r="D23" s="215"/>
      <c r="E23" s="215"/>
      <c r="F23" s="215"/>
      <c r="G23" s="215"/>
      <c r="H23" s="215"/>
      <c r="I23" s="215"/>
      <c r="J23" s="215"/>
      <c r="K23" s="215"/>
    </row>
    <row r="24" spans="2:11" ht="12.75">
      <c r="B24" s="6"/>
      <c r="C24" s="215"/>
      <c r="D24" s="215"/>
      <c r="E24" s="215"/>
      <c r="F24" s="215"/>
      <c r="G24" s="215"/>
      <c r="H24" s="215"/>
      <c r="I24" s="215"/>
      <c r="J24" s="215"/>
      <c r="K24" s="215"/>
    </row>
    <row r="25" spans="2:11" ht="12.75">
      <c r="B25" s="6"/>
      <c r="C25" s="14"/>
      <c r="D25" s="14"/>
      <c r="E25" s="15"/>
      <c r="F25" s="15"/>
      <c r="G25" s="15"/>
      <c r="H25" s="15"/>
      <c r="I25" s="15"/>
      <c r="J25" s="15"/>
      <c r="K25" s="14"/>
    </row>
    <row r="26" spans="2:11" ht="12.75">
      <c r="B26" s="17" t="s">
        <v>21</v>
      </c>
      <c r="C26" s="207" t="s">
        <v>22</v>
      </c>
      <c r="D26" s="207"/>
      <c r="E26" s="207"/>
      <c r="F26" s="207"/>
      <c r="G26" s="207"/>
      <c r="H26" s="207"/>
      <c r="I26" s="207"/>
      <c r="J26" s="207"/>
      <c r="K26" s="207"/>
    </row>
    <row r="27" spans="2:11" ht="12.75">
      <c r="B27" s="12"/>
      <c r="C27" s="207"/>
      <c r="D27" s="207"/>
      <c r="E27" s="207"/>
      <c r="F27" s="207"/>
      <c r="G27" s="207"/>
      <c r="H27" s="207"/>
      <c r="I27" s="207"/>
      <c r="J27" s="207"/>
      <c r="K27" s="207"/>
    </row>
    <row r="28" spans="2:11" ht="33" customHeight="1">
      <c r="B28" s="11"/>
      <c r="C28" s="207"/>
      <c r="D28" s="207"/>
      <c r="E28" s="207"/>
      <c r="F28" s="207"/>
      <c r="G28" s="207"/>
      <c r="H28" s="207"/>
      <c r="I28" s="207"/>
      <c r="J28" s="207"/>
      <c r="K28" s="207"/>
    </row>
    <row r="29" spans="2:11" ht="13.5">
      <c r="B29" s="6"/>
      <c r="C29" s="18"/>
      <c r="D29" s="18"/>
      <c r="E29" s="18"/>
      <c r="F29" s="18"/>
      <c r="G29" s="18"/>
      <c r="H29" s="18"/>
      <c r="I29" s="18"/>
      <c r="J29" s="18"/>
      <c r="K29" s="18"/>
    </row>
    <row r="30" spans="3:11" ht="12.75">
      <c r="C30" s="19" t="s">
        <v>23</v>
      </c>
      <c r="D30" s="19"/>
      <c r="E30" s="19"/>
      <c r="F30" s="19"/>
      <c r="G30" s="19"/>
      <c r="H30" s="19"/>
      <c r="I30" s="19"/>
      <c r="J30" s="19"/>
      <c r="K30" s="19"/>
    </row>
    <row r="31" spans="3:11" ht="12.75">
      <c r="C31" s="19"/>
      <c r="D31" s="19"/>
      <c r="E31" s="19"/>
      <c r="F31" s="19"/>
      <c r="G31" s="19"/>
      <c r="H31" s="19"/>
      <c r="I31" s="19"/>
      <c r="J31" s="19"/>
      <c r="K31" s="19"/>
    </row>
    <row r="32" spans="2:11" ht="12.75">
      <c r="B32" s="12" t="s">
        <v>24</v>
      </c>
      <c r="C32" s="208" t="s">
        <v>25</v>
      </c>
      <c r="D32" s="209"/>
      <c r="E32" s="209"/>
      <c r="F32" s="209"/>
      <c r="G32" s="209"/>
      <c r="H32" s="209"/>
      <c r="I32" s="209"/>
      <c r="J32" s="209"/>
      <c r="K32" s="209"/>
    </row>
    <row r="33" spans="3:11" ht="12.75">
      <c r="C33" s="209"/>
      <c r="D33" s="209"/>
      <c r="E33" s="209"/>
      <c r="F33" s="209"/>
      <c r="G33" s="209"/>
      <c r="H33" s="209"/>
      <c r="I33" s="209"/>
      <c r="J33" s="209"/>
      <c r="K33" s="209"/>
    </row>
    <row r="34" spans="3:11" ht="12.75">
      <c r="C34" s="209"/>
      <c r="D34" s="209"/>
      <c r="E34" s="209"/>
      <c r="F34" s="209"/>
      <c r="G34" s="209"/>
      <c r="H34" s="209"/>
      <c r="I34" s="209"/>
      <c r="J34" s="209"/>
      <c r="K34" s="209"/>
    </row>
    <row r="35" spans="3:11" ht="12.75">
      <c r="C35" s="210"/>
      <c r="D35" s="210"/>
      <c r="E35" s="210"/>
      <c r="F35" s="210"/>
      <c r="G35" s="210"/>
      <c r="H35" s="210"/>
      <c r="I35" s="210"/>
      <c r="J35" s="210"/>
      <c r="K35" s="210"/>
    </row>
  </sheetData>
  <sheetProtection/>
  <mergeCells count="8">
    <mergeCell ref="C26:K28"/>
    <mergeCell ref="C32:K35"/>
    <mergeCell ref="B2:L2"/>
    <mergeCell ref="B7:B9"/>
    <mergeCell ref="C7:K10"/>
    <mergeCell ref="C12:K12"/>
    <mergeCell ref="C19:K19"/>
    <mergeCell ref="C23:K24"/>
  </mergeCells>
  <printOptions/>
  <pageMargins left="0.7" right="0.7" top="0.75" bottom="0.75" header="0.3" footer="0.3"/>
  <pageSetup horizontalDpi="600" verticalDpi="600" orientation="portrait"/>
  <ignoredErrors>
    <ignoredError sqref="B7:B12 B20:B34 B13:B19" numberStoredAsText="1"/>
  </ignoredErrors>
</worksheet>
</file>

<file path=xl/worksheets/sheet10.xml><?xml version="1.0" encoding="utf-8"?>
<worksheet xmlns="http://schemas.openxmlformats.org/spreadsheetml/2006/main" xmlns:r="http://schemas.openxmlformats.org/officeDocument/2006/relationships">
  <dimension ref="A1:I50"/>
  <sheetViews>
    <sheetView workbookViewId="0" topLeftCell="A1">
      <selection activeCell="D4" sqref="D4"/>
    </sheetView>
  </sheetViews>
  <sheetFormatPr defaultColWidth="9.140625" defaultRowHeight="15"/>
  <cols>
    <col min="1" max="1" width="5.7109375" style="1" customWidth="1"/>
    <col min="2" max="2" width="39.28125" style="1" customWidth="1"/>
    <col min="3" max="3" width="21.421875" style="1" customWidth="1"/>
    <col min="4" max="4" width="9.00390625" style="1" customWidth="1"/>
    <col min="5" max="5" width="10.00390625" style="1" customWidth="1"/>
    <col min="6" max="6" width="6.421875" style="14" customWidth="1"/>
    <col min="7" max="7" width="7.7109375" style="14" customWidth="1"/>
    <col min="8" max="8" width="6.421875" style="14" customWidth="1"/>
    <col min="9" max="9" width="9.140625" style="14" customWidth="1"/>
    <col min="10" max="16384" width="9.140625" style="1" customWidth="1"/>
  </cols>
  <sheetData>
    <row r="1" ht="15.75">
      <c r="B1" s="122" t="s">
        <v>186</v>
      </c>
    </row>
    <row r="2" spans="2:5" ht="13.5" thickBot="1">
      <c r="B2" s="36"/>
      <c r="C2" s="36"/>
      <c r="D2" s="36"/>
      <c r="E2" s="36"/>
    </row>
    <row r="3" spans="2:5" ht="12.75">
      <c r="B3" s="20" t="s">
        <v>187</v>
      </c>
      <c r="C3" s="20" t="s">
        <v>188</v>
      </c>
      <c r="D3" s="20" t="s">
        <v>253</v>
      </c>
      <c r="E3" s="20"/>
    </row>
    <row r="4" spans="2:5" ht="12.75">
      <c r="B4" s="14"/>
      <c r="C4" s="14"/>
      <c r="D4" s="14"/>
      <c r="E4" s="14"/>
    </row>
    <row r="5" spans="2:5" ht="12.75">
      <c r="B5" s="26" t="s">
        <v>189</v>
      </c>
      <c r="D5" s="227"/>
      <c r="E5" s="227"/>
    </row>
    <row r="6" spans="2:9" ht="12.75">
      <c r="B6" s="136" t="s">
        <v>190</v>
      </c>
      <c r="C6" s="1" t="s">
        <v>191</v>
      </c>
      <c r="D6" s="123">
        <v>49.75</v>
      </c>
      <c r="E6" s="1" t="s">
        <v>192</v>
      </c>
      <c r="F6" s="124"/>
      <c r="G6" s="1"/>
      <c r="H6" s="1"/>
      <c r="I6" s="1"/>
    </row>
    <row r="7" spans="2:9" ht="12.75">
      <c r="B7" s="136" t="s">
        <v>193</v>
      </c>
      <c r="C7" s="1" t="s">
        <v>194</v>
      </c>
      <c r="D7" s="123">
        <v>105.8</v>
      </c>
      <c r="E7" s="1" t="s">
        <v>195</v>
      </c>
      <c r="F7" s="124"/>
      <c r="G7" s="1"/>
      <c r="H7" s="1"/>
      <c r="I7" s="1"/>
    </row>
    <row r="8" spans="2:5" ht="12.75">
      <c r="B8" s="136" t="s">
        <v>196</v>
      </c>
      <c r="C8" s="1" t="s">
        <v>194</v>
      </c>
      <c r="D8" s="123">
        <v>110.39999999999999</v>
      </c>
      <c r="E8" s="1" t="s">
        <v>192</v>
      </c>
    </row>
    <row r="9" spans="2:8" ht="12.75">
      <c r="B9" s="136" t="s">
        <v>171</v>
      </c>
      <c r="C9" s="1" t="s">
        <v>191</v>
      </c>
      <c r="D9" s="123">
        <v>96.15</v>
      </c>
      <c r="E9" s="1" t="s">
        <v>195</v>
      </c>
      <c r="G9" s="125"/>
      <c r="H9" s="124"/>
    </row>
    <row r="10" spans="2:8" ht="12.75">
      <c r="B10" s="136" t="s">
        <v>197</v>
      </c>
      <c r="C10" s="1" t="s">
        <v>191</v>
      </c>
      <c r="D10" s="123">
        <v>6.25</v>
      </c>
      <c r="E10" s="126" t="s">
        <v>198</v>
      </c>
      <c r="G10" s="125"/>
      <c r="H10" s="124"/>
    </row>
    <row r="11" spans="2:7" ht="12.75">
      <c r="B11" s="136" t="s">
        <v>156</v>
      </c>
      <c r="C11" s="1" t="s">
        <v>194</v>
      </c>
      <c r="D11" s="123">
        <v>12.65</v>
      </c>
      <c r="E11" s="1" t="s">
        <v>195</v>
      </c>
      <c r="G11" s="125"/>
    </row>
    <row r="12" spans="2:8" ht="12.75">
      <c r="B12" s="136" t="s">
        <v>163</v>
      </c>
      <c r="C12" s="1" t="s">
        <v>194</v>
      </c>
      <c r="D12" s="123">
        <v>42.55</v>
      </c>
      <c r="E12" s="1" t="s">
        <v>195</v>
      </c>
      <c r="G12" s="125"/>
      <c r="H12" s="124"/>
    </row>
    <row r="13" spans="2:8" ht="12.75">
      <c r="B13" s="136" t="s">
        <v>199</v>
      </c>
      <c r="C13" s="1" t="s">
        <v>200</v>
      </c>
      <c r="D13" s="123">
        <v>114.99999999999999</v>
      </c>
      <c r="E13" s="1" t="s">
        <v>195</v>
      </c>
      <c r="G13" s="125"/>
      <c r="H13" s="124"/>
    </row>
    <row r="14" spans="2:8" ht="12.75">
      <c r="B14" s="136" t="s">
        <v>201</v>
      </c>
      <c r="C14" s="1" t="s">
        <v>202</v>
      </c>
      <c r="D14" s="123">
        <v>0.74</v>
      </c>
      <c r="E14" s="1" t="s">
        <v>192</v>
      </c>
      <c r="F14" s="124"/>
      <c r="G14" s="125"/>
      <c r="H14" s="124"/>
    </row>
    <row r="15" spans="2:9" ht="12.75">
      <c r="B15" s="136" t="s">
        <v>139</v>
      </c>
      <c r="C15" s="1" t="s">
        <v>202</v>
      </c>
      <c r="D15" s="123">
        <v>0.48299999999999993</v>
      </c>
      <c r="E15" s="1" t="s">
        <v>192</v>
      </c>
      <c r="F15" s="124"/>
      <c r="G15" s="125"/>
      <c r="H15" s="124"/>
      <c r="I15" s="1"/>
    </row>
    <row r="16" spans="2:9" ht="12.75">
      <c r="B16" s="136" t="s">
        <v>141</v>
      </c>
      <c r="C16" s="1" t="s">
        <v>202</v>
      </c>
      <c r="D16" s="123">
        <v>0.5175</v>
      </c>
      <c r="E16" s="1" t="s">
        <v>192</v>
      </c>
      <c r="F16" s="124"/>
      <c r="G16" s="125"/>
      <c r="H16" s="124"/>
      <c r="I16" s="1"/>
    </row>
    <row r="17" spans="2:9" ht="12.75">
      <c r="B17" s="136" t="s">
        <v>173</v>
      </c>
      <c r="C17" s="1" t="s">
        <v>203</v>
      </c>
      <c r="D17" s="123">
        <v>2.5</v>
      </c>
      <c r="E17" s="1" t="s">
        <v>204</v>
      </c>
      <c r="F17" s="124"/>
      <c r="G17" s="125"/>
      <c r="H17" s="124"/>
      <c r="I17" s="1"/>
    </row>
    <row r="18" spans="2:9" ht="12.75">
      <c r="B18" s="136" t="s">
        <v>205</v>
      </c>
      <c r="C18" s="1" t="s">
        <v>194</v>
      </c>
      <c r="D18" s="123">
        <v>126.5</v>
      </c>
      <c r="E18" s="1" t="s">
        <v>195</v>
      </c>
      <c r="G18" s="125"/>
      <c r="H18" s="124"/>
      <c r="I18" s="1"/>
    </row>
    <row r="19" spans="2:9" ht="12.75">
      <c r="B19" s="136" t="s">
        <v>206</v>
      </c>
      <c r="C19" s="1" t="s">
        <v>194</v>
      </c>
      <c r="D19" s="123">
        <v>41.4</v>
      </c>
      <c r="E19" s="1" t="s">
        <v>192</v>
      </c>
      <c r="F19" s="124"/>
      <c r="G19" s="125"/>
      <c r="H19" s="124"/>
      <c r="I19" s="1"/>
    </row>
    <row r="20" spans="2:9" ht="12.75">
      <c r="B20" s="136" t="s">
        <v>168</v>
      </c>
      <c r="C20" s="1" t="s">
        <v>194</v>
      </c>
      <c r="D20" s="123">
        <v>475</v>
      </c>
      <c r="E20" s="1" t="s">
        <v>195</v>
      </c>
      <c r="G20" s="125"/>
      <c r="H20" s="124"/>
      <c r="I20" s="1"/>
    </row>
    <row r="21" spans="2:9" ht="12.75">
      <c r="B21" s="136" t="s">
        <v>142</v>
      </c>
      <c r="C21" s="1" t="s">
        <v>202</v>
      </c>
      <c r="D21" s="123">
        <v>1</v>
      </c>
      <c r="E21" s="1" t="s">
        <v>192</v>
      </c>
      <c r="F21" s="124"/>
      <c r="G21" s="125"/>
      <c r="H21" s="124"/>
      <c r="I21" s="1"/>
    </row>
    <row r="22" spans="2:9" ht="13.5">
      <c r="B22" s="136" t="s">
        <v>228</v>
      </c>
      <c r="I22" s="1"/>
    </row>
    <row r="23" spans="2:9" ht="12.75">
      <c r="B23" s="137"/>
      <c r="I23" s="1"/>
    </row>
    <row r="24" spans="2:9" ht="12.75">
      <c r="B24" s="138" t="s">
        <v>207</v>
      </c>
      <c r="I24" s="1"/>
    </row>
    <row r="25" spans="2:9" ht="12.75">
      <c r="B25" s="136" t="s">
        <v>170</v>
      </c>
      <c r="D25" s="127">
        <v>10</v>
      </c>
      <c r="E25" s="1" t="s">
        <v>208</v>
      </c>
      <c r="F25" s="124"/>
      <c r="G25" s="128"/>
      <c r="H25" s="124"/>
      <c r="I25" s="1"/>
    </row>
    <row r="26" spans="2:9" ht="12.75">
      <c r="B26" s="136" t="s">
        <v>138</v>
      </c>
      <c r="D26" s="127">
        <v>10</v>
      </c>
      <c r="E26" s="1" t="s">
        <v>208</v>
      </c>
      <c r="F26" s="124"/>
      <c r="G26" s="128"/>
      <c r="H26" s="124"/>
      <c r="I26" s="1"/>
    </row>
    <row r="27" spans="2:9" ht="12.75">
      <c r="B27" s="136" t="s">
        <v>154</v>
      </c>
      <c r="D27" s="127">
        <v>10</v>
      </c>
      <c r="E27" s="1" t="s">
        <v>208</v>
      </c>
      <c r="F27" s="124"/>
      <c r="G27" s="128"/>
      <c r="H27" s="124"/>
      <c r="I27" s="1"/>
    </row>
    <row r="28" spans="2:9" ht="12.75">
      <c r="B28" s="136" t="s">
        <v>45</v>
      </c>
      <c r="D28" s="127">
        <v>6</v>
      </c>
      <c r="E28" s="1" t="s">
        <v>192</v>
      </c>
      <c r="F28" s="124"/>
      <c r="G28" s="128"/>
      <c r="H28" s="124"/>
      <c r="I28" s="1"/>
    </row>
    <row r="29" spans="2:9" ht="12.75">
      <c r="B29" s="136" t="s">
        <v>229</v>
      </c>
      <c r="D29" s="127">
        <v>175</v>
      </c>
      <c r="E29" s="1" t="s">
        <v>208</v>
      </c>
      <c r="F29" s="124"/>
      <c r="G29" s="128"/>
      <c r="H29" s="124"/>
      <c r="I29" s="1"/>
    </row>
    <row r="30" spans="2:9" ht="12.75">
      <c r="B30" s="136" t="s">
        <v>85</v>
      </c>
      <c r="D30" s="127">
        <v>37.5</v>
      </c>
      <c r="E30" s="1" t="s">
        <v>208</v>
      </c>
      <c r="F30" s="124"/>
      <c r="G30" s="128"/>
      <c r="H30" s="124"/>
      <c r="I30" s="1"/>
    </row>
    <row r="31" spans="2:9" ht="12.75">
      <c r="B31" s="136" t="s">
        <v>152</v>
      </c>
      <c r="D31" s="127">
        <v>10</v>
      </c>
      <c r="E31" s="1" t="s">
        <v>208</v>
      </c>
      <c r="F31" s="124"/>
      <c r="G31" s="128"/>
      <c r="H31" s="124"/>
      <c r="I31" s="1"/>
    </row>
    <row r="32" spans="2:9" ht="12.75">
      <c r="B32" s="136" t="s">
        <v>209</v>
      </c>
      <c r="D32" s="127">
        <v>90</v>
      </c>
      <c r="E32" s="1" t="s">
        <v>208</v>
      </c>
      <c r="F32" s="124"/>
      <c r="G32" s="128"/>
      <c r="H32" s="124"/>
      <c r="I32" s="1"/>
    </row>
    <row r="33" spans="2:9" ht="12.75">
      <c r="B33" s="136"/>
      <c r="D33" s="127"/>
      <c r="G33" s="128"/>
      <c r="I33" s="1"/>
    </row>
    <row r="34" spans="2:9" ht="12.75">
      <c r="B34" s="138" t="s">
        <v>210</v>
      </c>
      <c r="D34" s="127"/>
      <c r="G34" s="128"/>
      <c r="I34" s="1"/>
    </row>
    <row r="35" spans="2:9" ht="12.75">
      <c r="B35" s="139" t="s">
        <v>211</v>
      </c>
      <c r="C35" s="14"/>
      <c r="D35" s="129">
        <v>14</v>
      </c>
      <c r="E35" s="14" t="s">
        <v>208</v>
      </c>
      <c r="F35" s="124"/>
      <c r="G35" s="128"/>
      <c r="H35" s="124"/>
      <c r="I35" s="1"/>
    </row>
    <row r="36" spans="2:9" ht="12.75">
      <c r="B36" s="136" t="s">
        <v>212</v>
      </c>
      <c r="D36" s="127">
        <v>2.25</v>
      </c>
      <c r="E36" s="1" t="s">
        <v>195</v>
      </c>
      <c r="F36" s="124"/>
      <c r="G36" s="128"/>
      <c r="H36" s="124"/>
      <c r="I36" s="1"/>
    </row>
    <row r="37" spans="2:9" ht="12.75">
      <c r="B37" s="136" t="s">
        <v>213</v>
      </c>
      <c r="D37" s="127">
        <v>2.8</v>
      </c>
      <c r="E37" s="1" t="s">
        <v>195</v>
      </c>
      <c r="F37" s="124"/>
      <c r="G37" s="128"/>
      <c r="H37" s="124"/>
      <c r="I37" s="1"/>
    </row>
    <row r="38" spans="2:9" ht="12.75">
      <c r="B38" s="136" t="s">
        <v>227</v>
      </c>
      <c r="D38" s="127">
        <v>60</v>
      </c>
      <c r="E38" s="1" t="s">
        <v>208</v>
      </c>
      <c r="F38" s="124"/>
      <c r="G38" s="128"/>
      <c r="H38" s="124"/>
      <c r="I38" s="1"/>
    </row>
    <row r="39" spans="2:9" ht="12.75">
      <c r="B39" s="136" t="s">
        <v>59</v>
      </c>
      <c r="D39" s="127">
        <v>400</v>
      </c>
      <c r="E39" s="1" t="s">
        <v>214</v>
      </c>
      <c r="G39" s="128"/>
      <c r="I39" s="1"/>
    </row>
    <row r="40" spans="2:9" ht="12.75">
      <c r="B40" s="136" t="s">
        <v>215</v>
      </c>
      <c r="D40" s="127">
        <v>15</v>
      </c>
      <c r="E40" s="1" t="s">
        <v>216</v>
      </c>
      <c r="F40" s="124"/>
      <c r="G40" s="128"/>
      <c r="H40" s="124"/>
      <c r="I40" s="1"/>
    </row>
    <row r="41" spans="2:9" ht="12.75">
      <c r="B41" s="136" t="s">
        <v>217</v>
      </c>
      <c r="D41" s="127">
        <v>100</v>
      </c>
      <c r="E41" s="1" t="s">
        <v>208</v>
      </c>
      <c r="G41" s="128"/>
      <c r="I41" s="1"/>
    </row>
    <row r="42" spans="2:9" ht="12.75">
      <c r="B42" s="136" t="s">
        <v>46</v>
      </c>
      <c r="D42" s="127">
        <v>0.05</v>
      </c>
      <c r="E42" s="1" t="s">
        <v>192</v>
      </c>
      <c r="F42" s="124"/>
      <c r="G42" s="128"/>
      <c r="H42" s="124"/>
      <c r="I42" s="1"/>
    </row>
    <row r="43" spans="2:9" ht="12.75">
      <c r="B43" s="139" t="s">
        <v>218</v>
      </c>
      <c r="C43" s="14"/>
      <c r="D43" s="129">
        <v>50</v>
      </c>
      <c r="E43" s="14" t="s">
        <v>208</v>
      </c>
      <c r="I43" s="1"/>
    </row>
    <row r="44" spans="2:9" ht="12.75">
      <c r="B44" s="139" t="s">
        <v>219</v>
      </c>
      <c r="C44" s="14"/>
      <c r="D44" s="129">
        <v>75</v>
      </c>
      <c r="E44" s="14" t="s">
        <v>208</v>
      </c>
      <c r="I44" s="1"/>
    </row>
    <row r="45" spans="2:9" ht="12.75">
      <c r="B45" s="139" t="s">
        <v>145</v>
      </c>
      <c r="C45" s="14"/>
      <c r="D45" s="128">
        <v>400</v>
      </c>
      <c r="E45" s="14" t="s">
        <v>208</v>
      </c>
      <c r="F45" s="124"/>
      <c r="G45" s="128"/>
      <c r="H45" s="124"/>
      <c r="I45" s="1"/>
    </row>
    <row r="46" spans="1:9" ht="12.75">
      <c r="A46" s="20"/>
      <c r="B46" s="140" t="s">
        <v>220</v>
      </c>
      <c r="C46" s="20"/>
      <c r="D46" s="130">
        <v>50</v>
      </c>
      <c r="E46" s="20" t="s">
        <v>208</v>
      </c>
      <c r="F46" s="124"/>
      <c r="G46" s="128"/>
      <c r="H46" s="124"/>
      <c r="I46" s="1"/>
    </row>
    <row r="49" spans="2:9" ht="12.75">
      <c r="B49" s="23"/>
      <c r="E49" s="126"/>
      <c r="F49" s="124"/>
      <c r="H49" s="124"/>
      <c r="I49" s="1"/>
    </row>
    <row r="50" spans="2:9" ht="12.75">
      <c r="B50" s="23"/>
      <c r="E50" s="126"/>
      <c r="F50" s="124"/>
      <c r="H50" s="124"/>
      <c r="I50" s="1"/>
    </row>
  </sheetData>
  <sheetProtection/>
  <mergeCells count="1">
    <mergeCell ref="D5:E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B2:H46"/>
  <sheetViews>
    <sheetView workbookViewId="0" topLeftCell="A13">
      <selection activeCell="B45" sqref="B45:G45"/>
    </sheetView>
  </sheetViews>
  <sheetFormatPr defaultColWidth="9.140625" defaultRowHeight="15"/>
  <cols>
    <col min="1" max="1" width="5.7109375" style="1" customWidth="1"/>
    <col min="2" max="2" width="50.28125" style="1" customWidth="1"/>
    <col min="3" max="3" width="19.28125" style="1" customWidth="1"/>
    <col min="4" max="4" width="9.140625" style="1" customWidth="1"/>
    <col min="5" max="5" width="22.8515625" style="1" customWidth="1"/>
    <col min="6" max="6" width="4.7109375" style="1" customWidth="1"/>
    <col min="7" max="7" width="10.7109375" style="1" customWidth="1"/>
    <col min="8" max="8" width="9.421875" style="1" bestFit="1" customWidth="1"/>
    <col min="9" max="16384" width="9.140625" style="1" customWidth="1"/>
  </cols>
  <sheetData>
    <row r="2" spans="2:7" ht="13.5" thickBot="1">
      <c r="B2" s="216" t="s">
        <v>259</v>
      </c>
      <c r="C2" s="216"/>
      <c r="D2" s="216"/>
      <c r="E2" s="216"/>
      <c r="F2" s="216"/>
      <c r="G2" s="216"/>
    </row>
    <row r="3" spans="2:7" ht="13.5">
      <c r="B3" s="20"/>
      <c r="C3" s="202" t="s">
        <v>136</v>
      </c>
      <c r="D3" s="20"/>
      <c r="E3" s="202" t="s">
        <v>261</v>
      </c>
      <c r="F3" s="20"/>
      <c r="G3" s="22" t="s">
        <v>35</v>
      </c>
    </row>
    <row r="4" spans="2:7" ht="12.75">
      <c r="B4" s="23" t="s">
        <v>235</v>
      </c>
      <c r="C4" s="24">
        <v>75</v>
      </c>
      <c r="D4" s="24"/>
      <c r="E4" s="24">
        <v>130</v>
      </c>
      <c r="G4" s="142"/>
    </row>
    <row r="5" spans="2:7" ht="12.75">
      <c r="B5" s="23" t="s">
        <v>36</v>
      </c>
      <c r="C5" s="154">
        <v>15</v>
      </c>
      <c r="D5" s="155"/>
      <c r="E5" s="154">
        <v>15</v>
      </c>
      <c r="G5" s="143"/>
    </row>
    <row r="6" spans="2:7" s="3" customFormat="1" ht="12.75">
      <c r="B6" s="3" t="s">
        <v>236</v>
      </c>
      <c r="C6" s="147">
        <f>+C4*C5</f>
        <v>1125</v>
      </c>
      <c r="D6" s="147"/>
      <c r="E6" s="147">
        <f>+E4*E5</f>
        <v>1950</v>
      </c>
      <c r="G6" s="144"/>
    </row>
    <row r="7" spans="3:5" ht="12.75">
      <c r="C7" s="148"/>
      <c r="D7" s="148"/>
      <c r="E7" s="148"/>
    </row>
    <row r="8" spans="2:5" ht="12.75">
      <c r="B8" s="3" t="s">
        <v>237</v>
      </c>
      <c r="C8" s="148"/>
      <c r="D8" s="148"/>
      <c r="E8" s="148"/>
    </row>
    <row r="9" spans="2:5" ht="12.75">
      <c r="B9" s="26" t="s">
        <v>37</v>
      </c>
      <c r="C9" s="148"/>
      <c r="D9" s="148"/>
      <c r="E9" s="148"/>
    </row>
    <row r="10" spans="2:7" ht="12.75">
      <c r="B10" s="23" t="s">
        <v>247</v>
      </c>
      <c r="C10" s="148">
        <f>'Estab. Costs'!G10</f>
        <v>575</v>
      </c>
      <c r="D10" s="148"/>
      <c r="E10" s="148">
        <v>0</v>
      </c>
      <c r="G10" s="27"/>
    </row>
    <row r="11" spans="2:7" ht="12.75">
      <c r="B11" s="26" t="s">
        <v>246</v>
      </c>
      <c r="C11" s="148"/>
      <c r="D11" s="148"/>
      <c r="E11" s="148"/>
      <c r="G11" s="14"/>
    </row>
    <row r="12" spans="2:7" ht="12.75">
      <c r="B12" s="23" t="s">
        <v>38</v>
      </c>
      <c r="C12" s="148">
        <f>'Estab. Costs'!G5+'Estab. Costs'!G17</f>
        <v>367.865</v>
      </c>
      <c r="D12" s="148"/>
      <c r="E12" s="148">
        <f>'Full Prod. Costs'!G11+'Full Prod. Costs'!G20+'Full Prod. Costs'!G36</f>
        <v>357.9</v>
      </c>
      <c r="G12" s="27"/>
    </row>
    <row r="13" spans="2:7" ht="12.75">
      <c r="B13" s="23" t="s">
        <v>39</v>
      </c>
      <c r="C13" s="148">
        <f>'Estab. Costs'!G22</f>
        <v>56.574999999999996</v>
      </c>
      <c r="D13" s="148"/>
      <c r="E13" s="148">
        <f>'Full Prod. Costs'!G5+'Full Prod. Costs'!G25+'Full Prod. Costs'!G31+'Full Prod. Costs'!G38</f>
        <v>119.67296875</v>
      </c>
      <c r="G13" s="27"/>
    </row>
    <row r="14" spans="2:7" ht="12.75">
      <c r="B14" s="23" t="s">
        <v>40</v>
      </c>
      <c r="C14" s="148">
        <f>'Estab. Costs'!G29</f>
        <v>84.75</v>
      </c>
      <c r="D14" s="148"/>
      <c r="E14" s="148">
        <f>'Full Prod. Costs'!G27+'Full Prod. Costs'!G42</f>
        <v>24.0140625</v>
      </c>
      <c r="G14" s="27"/>
    </row>
    <row r="15" spans="2:7" ht="12.75">
      <c r="B15" s="28" t="s">
        <v>41</v>
      </c>
      <c r="C15" s="148">
        <f>'Estab. Costs'!G13</f>
        <v>187.5</v>
      </c>
      <c r="D15" s="148"/>
      <c r="E15" s="148">
        <f>'Full Prod. Costs'!G16</f>
        <v>187.5</v>
      </c>
      <c r="G15" s="27"/>
    </row>
    <row r="16" spans="2:7" ht="12.75">
      <c r="B16" s="23" t="s">
        <v>42</v>
      </c>
      <c r="C16" s="148">
        <f>'Estab. Costs'!G27</f>
        <v>50</v>
      </c>
      <c r="D16" s="148"/>
      <c r="E16" s="148">
        <v>0</v>
      </c>
      <c r="G16" s="27"/>
    </row>
    <row r="17" spans="2:7" ht="12.75">
      <c r="B17" s="23" t="s">
        <v>43</v>
      </c>
      <c r="C17" s="148">
        <f>'Estab. Costs'!G20</f>
        <v>10</v>
      </c>
      <c r="D17" s="148"/>
      <c r="E17" s="148">
        <f>'Full Prod. Costs'!G23</f>
        <v>10</v>
      </c>
      <c r="F17" s="14"/>
      <c r="G17" s="27"/>
    </row>
    <row r="18" spans="2:7" ht="12.75">
      <c r="B18" s="26" t="s">
        <v>44</v>
      </c>
      <c r="C18" s="148"/>
      <c r="D18" s="148"/>
      <c r="E18" s="148"/>
      <c r="F18" s="14"/>
      <c r="G18" s="14"/>
    </row>
    <row r="19" spans="2:7" ht="12.75">
      <c r="B19" s="29" t="s">
        <v>45</v>
      </c>
      <c r="C19" s="148">
        <f>'Estab. Costs'!G33</f>
        <v>450</v>
      </c>
      <c r="D19" s="148"/>
      <c r="E19" s="148">
        <f>'Full Prod. Costs'!G34+'Full Prod. Costs'!G46</f>
        <v>780</v>
      </c>
      <c r="F19" s="14"/>
      <c r="G19" s="30"/>
    </row>
    <row r="20" spans="2:7" ht="12.75">
      <c r="B20" s="29" t="s">
        <v>46</v>
      </c>
      <c r="C20" s="148">
        <f>'Estab. Costs'!G35</f>
        <v>3.75</v>
      </c>
      <c r="D20" s="148"/>
      <c r="E20" s="148">
        <f>'Full Prod. Costs'!G48</f>
        <v>6.5</v>
      </c>
      <c r="F20" s="14"/>
      <c r="G20" s="14"/>
    </row>
    <row r="21" spans="2:7" ht="12.75">
      <c r="B21" s="29" t="s">
        <v>47</v>
      </c>
      <c r="C21" s="148">
        <f>'Estab. Costs'!G36</f>
        <v>50</v>
      </c>
      <c r="D21" s="148"/>
      <c r="E21" s="148">
        <f>'Full Prod. Costs'!G51</f>
        <v>75</v>
      </c>
      <c r="F21" s="14"/>
      <c r="G21" s="27"/>
    </row>
    <row r="22" spans="2:7" ht="12.75">
      <c r="B22" s="26" t="s">
        <v>48</v>
      </c>
      <c r="C22" s="148"/>
      <c r="D22" s="148"/>
      <c r="E22" s="148"/>
      <c r="F22" s="14"/>
      <c r="G22" s="14"/>
    </row>
    <row r="23" spans="2:7" ht="12.75">
      <c r="B23" s="29" t="s">
        <v>49</v>
      </c>
      <c r="C23" s="148">
        <f>'Int. Costs &amp; Depr.'!K36</f>
        <v>13.261153846153848</v>
      </c>
      <c r="D23" s="148"/>
      <c r="E23" s="148">
        <f>+'Int. Costs &amp; Depr.'!K43</f>
        <v>4.896153846153846</v>
      </c>
      <c r="F23" s="14"/>
      <c r="G23" s="14"/>
    </row>
    <row r="24" spans="2:7" ht="12.75">
      <c r="B24" s="29" t="s">
        <v>50</v>
      </c>
      <c r="C24" s="148">
        <f>'Int. Costs &amp; Depr.'!M36</f>
        <v>52.575125</v>
      </c>
      <c r="D24" s="148"/>
      <c r="E24" s="148">
        <f>+'Int. Costs &amp; Depr.'!M43</f>
        <v>33.649</v>
      </c>
      <c r="F24" s="14"/>
      <c r="G24" s="27"/>
    </row>
    <row r="25" spans="2:7" ht="12.75">
      <c r="B25" s="26" t="s">
        <v>51</v>
      </c>
      <c r="C25" s="148"/>
      <c r="D25" s="148"/>
      <c r="E25" s="148"/>
      <c r="F25" s="14"/>
      <c r="G25" s="14"/>
    </row>
    <row r="26" spans="2:7" ht="12.75">
      <c r="B26" s="29" t="s">
        <v>52</v>
      </c>
      <c r="C26" s="149">
        <v>0</v>
      </c>
      <c r="D26" s="148"/>
      <c r="E26" s="148">
        <f>'Full Prod. Costs'!G49</f>
        <v>114.99999999999999</v>
      </c>
      <c r="F26" s="14"/>
      <c r="G26" s="14"/>
    </row>
    <row r="27" spans="2:7" ht="12.75">
      <c r="B27" s="29" t="s">
        <v>53</v>
      </c>
      <c r="C27" s="148">
        <f>'Estab. Costs'!G39</f>
        <v>14</v>
      </c>
      <c r="D27" s="148"/>
      <c r="E27" s="148">
        <f>'Full Prod. Costs'!G54</f>
        <v>14</v>
      </c>
      <c r="F27" s="14"/>
      <c r="G27" s="30"/>
    </row>
    <row r="28" spans="2:7" ht="12.75">
      <c r="B28" s="29" t="s">
        <v>54</v>
      </c>
      <c r="C28" s="150">
        <f>0.03*SUM(C10:C27)</f>
        <v>57.45828836538462</v>
      </c>
      <c r="D28" s="148"/>
      <c r="E28" s="150">
        <f>0.03*SUM(E10:E27)</f>
        <v>51.84396555288462</v>
      </c>
      <c r="F28" s="14"/>
      <c r="G28" s="31"/>
    </row>
    <row r="29" spans="2:7" s="3" customFormat="1" ht="12.75">
      <c r="B29" s="3" t="s">
        <v>55</v>
      </c>
      <c r="C29" s="147">
        <f>+SUM(C10:C28)</f>
        <v>1972.7345672115384</v>
      </c>
      <c r="D29" s="147"/>
      <c r="E29" s="147">
        <f>+SUM(E10:E28)</f>
        <v>1779.9761506490386</v>
      </c>
      <c r="F29" s="34"/>
      <c r="G29" s="34"/>
    </row>
    <row r="30" spans="3:7" ht="12.75">
      <c r="C30" s="148"/>
      <c r="D30" s="148"/>
      <c r="E30" s="148"/>
      <c r="F30" s="14"/>
      <c r="G30" s="14"/>
    </row>
    <row r="31" spans="2:7" ht="12.75">
      <c r="B31" s="3" t="s">
        <v>238</v>
      </c>
      <c r="C31" s="148"/>
      <c r="D31" s="148"/>
      <c r="E31" s="148"/>
      <c r="F31" s="14"/>
      <c r="G31" s="14"/>
    </row>
    <row r="32" spans="2:7" ht="12.75">
      <c r="B32" s="29" t="s">
        <v>56</v>
      </c>
      <c r="C32" s="148">
        <f>'Int. Costs &amp; Depr.'!F36</f>
        <v>30.492914835164832</v>
      </c>
      <c r="D32" s="148"/>
      <c r="E32" s="148">
        <f>'Int. Costs &amp; Depr.'!F43</f>
        <v>12.013021978021978</v>
      </c>
      <c r="F32" s="14"/>
      <c r="G32" s="30"/>
    </row>
    <row r="33" spans="2:7" ht="12.75">
      <c r="B33" s="29" t="s">
        <v>57</v>
      </c>
      <c r="C33" s="148">
        <f>'Int. Costs &amp; Depr.'!G36</f>
        <v>12.582392307692311</v>
      </c>
      <c r="D33" s="148"/>
      <c r="E33" s="148">
        <f>'Int. Costs &amp; Depr.'!G43</f>
        <v>3.546442307692308</v>
      </c>
      <c r="F33" s="14"/>
      <c r="G33" s="27"/>
    </row>
    <row r="34" spans="2:7" ht="12.75">
      <c r="B34" s="29" t="s">
        <v>58</v>
      </c>
      <c r="C34" s="148">
        <f>'Int. Costs &amp; Depr.'!H36</f>
        <v>3.268153846153846</v>
      </c>
      <c r="D34" s="148"/>
      <c r="E34" s="148">
        <f>'Int. Costs &amp; Depr.'!H43</f>
        <v>0.9211538461538462</v>
      </c>
      <c r="F34" s="14"/>
      <c r="G34" s="27"/>
    </row>
    <row r="35" spans="2:7" ht="12.75">
      <c r="B35" s="29" t="s">
        <v>59</v>
      </c>
      <c r="C35" s="151">
        <f>'Estab. Costs'!G37</f>
        <v>400</v>
      </c>
      <c r="D35" s="151"/>
      <c r="E35" s="151">
        <f>'Full Prod. Costs'!G52</f>
        <v>400</v>
      </c>
      <c r="F35" s="14"/>
      <c r="G35" s="27"/>
    </row>
    <row r="36" spans="2:8" ht="12.75">
      <c r="B36" s="29" t="s">
        <v>60</v>
      </c>
      <c r="C36" s="151">
        <f>'Estab. Costs'!G38</f>
        <v>100</v>
      </c>
      <c r="D36" s="151"/>
      <c r="E36" s="151">
        <f>'Full Prod. Costs'!G53</f>
        <v>100</v>
      </c>
      <c r="F36" s="14"/>
      <c r="G36" s="27"/>
      <c r="H36" s="33"/>
    </row>
    <row r="37" spans="2:8" ht="13.5">
      <c r="B37" s="29" t="s">
        <v>262</v>
      </c>
      <c r="C37" s="150">
        <v>0</v>
      </c>
      <c r="D37" s="151"/>
      <c r="E37" s="150">
        <f>'Amort. Calc.'!C7</f>
        <v>531.2157547360371</v>
      </c>
      <c r="F37" s="14"/>
      <c r="G37" s="31"/>
      <c r="H37" s="25"/>
    </row>
    <row r="38" spans="2:7" s="3" customFormat="1" ht="12.75">
      <c r="B38" s="3" t="s">
        <v>61</v>
      </c>
      <c r="C38" s="147">
        <f>+SUM(C32:C37)</f>
        <v>546.343460989011</v>
      </c>
      <c r="D38" s="147"/>
      <c r="E38" s="147">
        <f>+SUM(E32:E37)</f>
        <v>1047.6963728679052</v>
      </c>
      <c r="F38" s="34"/>
      <c r="G38" s="34"/>
    </row>
    <row r="39" spans="3:7" ht="12.75">
      <c r="C39" s="148"/>
      <c r="D39" s="148"/>
      <c r="E39" s="148"/>
      <c r="F39" s="14"/>
      <c r="G39" s="14"/>
    </row>
    <row r="40" spans="2:7" s="3" customFormat="1" ht="12.75">
      <c r="B40" s="34" t="s">
        <v>239</v>
      </c>
      <c r="C40" s="152">
        <f>+SUM(C29+C38)</f>
        <v>2519.0780282005494</v>
      </c>
      <c r="D40" s="152"/>
      <c r="E40" s="152">
        <f>+SUM(E29,E38)</f>
        <v>2827.672523516944</v>
      </c>
      <c r="F40" s="34"/>
      <c r="G40" s="145"/>
    </row>
    <row r="41" spans="2:7" s="3" customFormat="1" ht="12.75">
      <c r="B41" s="34"/>
      <c r="C41" s="152"/>
      <c r="D41" s="152"/>
      <c r="E41" s="152"/>
      <c r="F41" s="34"/>
      <c r="G41" s="34"/>
    </row>
    <row r="42" spans="2:7" s="3" customFormat="1" ht="12.75">
      <c r="B42" s="34" t="s">
        <v>240</v>
      </c>
      <c r="C42" s="152">
        <f>C6-C40</f>
        <v>-1394.0780282005494</v>
      </c>
      <c r="D42" s="152"/>
      <c r="E42" s="152">
        <f>E6-E40</f>
        <v>-877.6725235169438</v>
      </c>
      <c r="G42" s="145"/>
    </row>
    <row r="43" spans="2:7" s="3" customFormat="1" ht="13.5" thickBot="1">
      <c r="B43" s="35"/>
      <c r="C43" s="153"/>
      <c r="D43" s="153"/>
      <c r="E43" s="153"/>
      <c r="F43" s="35"/>
      <c r="G43" s="35"/>
    </row>
    <row r="44" ht="12.75">
      <c r="B44" s="1" t="s">
        <v>231</v>
      </c>
    </row>
    <row r="45" spans="2:7" ht="36" customHeight="1">
      <c r="B45" s="217" t="s">
        <v>157</v>
      </c>
      <c r="C45" s="217"/>
      <c r="D45" s="217"/>
      <c r="E45" s="217"/>
      <c r="F45" s="217"/>
      <c r="G45" s="217"/>
    </row>
    <row r="46" spans="2:7" ht="12.75" customHeight="1">
      <c r="B46" s="203"/>
      <c r="C46" s="203"/>
      <c r="D46" s="203"/>
      <c r="E46" s="203"/>
      <c r="F46" s="203"/>
      <c r="G46" s="203"/>
    </row>
  </sheetData>
  <sheetProtection/>
  <mergeCells count="2">
    <mergeCell ref="B2:G2"/>
    <mergeCell ref="B45:G45"/>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B2:J26"/>
  <sheetViews>
    <sheetView workbookViewId="0" topLeftCell="A1">
      <selection activeCell="B26" sqref="B26"/>
    </sheetView>
  </sheetViews>
  <sheetFormatPr defaultColWidth="9.140625" defaultRowHeight="15"/>
  <cols>
    <col min="1" max="1" width="5.7109375" style="1" customWidth="1"/>
    <col min="2" max="2" width="15.7109375" style="1" customWidth="1"/>
    <col min="3" max="3" width="30.00390625" style="1" customWidth="1"/>
    <col min="4" max="4" width="15.7109375" style="1" customWidth="1"/>
    <col min="5" max="5" width="2.7109375" style="1" customWidth="1"/>
    <col min="6" max="6" width="15.7109375" style="1" customWidth="1"/>
    <col min="7" max="7" width="2.7109375" style="1" customWidth="1"/>
    <col min="8" max="8" width="15.7109375" style="1" customWidth="1"/>
    <col min="9" max="9" width="2.7109375" style="1" customWidth="1"/>
    <col min="10" max="10" width="15.7109375" style="1" customWidth="1"/>
    <col min="11" max="11" width="2.7109375" style="1" customWidth="1"/>
    <col min="12" max="12" width="15.7109375" style="1" customWidth="1"/>
    <col min="13" max="13" width="2.7109375" style="1" customWidth="1"/>
    <col min="14" max="16384" width="9.140625" style="1" customWidth="1"/>
  </cols>
  <sheetData>
    <row r="2" spans="2:10" ht="15.75" thickBot="1">
      <c r="B2" s="200" t="s">
        <v>256</v>
      </c>
      <c r="C2" s="38"/>
      <c r="D2" s="38"/>
      <c r="E2" s="38"/>
      <c r="F2" s="38"/>
      <c r="G2" s="38"/>
      <c r="H2" s="38"/>
      <c r="I2" s="38"/>
      <c r="J2" s="38"/>
    </row>
    <row r="3" spans="2:10" ht="25.5">
      <c r="B3" s="39"/>
      <c r="C3" s="39"/>
      <c r="D3" s="40" t="s">
        <v>62</v>
      </c>
      <c r="E3" s="40"/>
      <c r="F3" s="40" t="s">
        <v>63</v>
      </c>
      <c r="G3" s="40"/>
      <c r="H3" s="41" t="s">
        <v>248</v>
      </c>
      <c r="I3" s="41"/>
      <c r="J3" s="41" t="s">
        <v>249</v>
      </c>
    </row>
    <row r="4" spans="2:10" ht="12.75">
      <c r="B4" s="14"/>
      <c r="C4" s="14"/>
      <c r="D4" s="171"/>
      <c r="E4" s="171"/>
      <c r="F4" s="171"/>
      <c r="G4" s="171"/>
      <c r="H4" s="172"/>
      <c r="I4" s="43"/>
      <c r="J4" s="42"/>
    </row>
    <row r="5" spans="2:10" ht="12.75">
      <c r="B5" s="14" t="s">
        <v>64</v>
      </c>
      <c r="C5" s="14"/>
      <c r="D5" s="173">
        <f>+Budget!E29</f>
        <v>1779.9761506490386</v>
      </c>
      <c r="E5" s="173"/>
      <c r="F5" s="150"/>
      <c r="G5" s="151"/>
      <c r="H5" s="174">
        <f>+D5/$D$22</f>
        <v>13.692124235761835</v>
      </c>
      <c r="I5" s="44" t="s">
        <v>65</v>
      </c>
      <c r="J5" s="20"/>
    </row>
    <row r="6" spans="2:10" ht="12.75">
      <c r="B6" s="14"/>
      <c r="C6" s="14"/>
      <c r="D6" s="173"/>
      <c r="E6" s="173"/>
      <c r="F6" s="151"/>
      <c r="G6" s="151"/>
      <c r="H6" s="174"/>
      <c r="I6" s="44"/>
      <c r="J6" s="14"/>
    </row>
    <row r="7" spans="2:10" ht="12.75">
      <c r="B7" s="1" t="s">
        <v>66</v>
      </c>
      <c r="D7" s="175">
        <f>+SUM(D8:D10)</f>
        <v>2180.8973044951927</v>
      </c>
      <c r="E7" s="175"/>
      <c r="F7" s="150"/>
      <c r="G7" s="148"/>
      <c r="H7" s="174">
        <f>+D7/$D$22</f>
        <v>16.776133111501483</v>
      </c>
      <c r="I7" s="44" t="s">
        <v>67</v>
      </c>
      <c r="J7" s="20"/>
    </row>
    <row r="8" spans="2:10" ht="12.75">
      <c r="B8" s="204" t="s">
        <v>68</v>
      </c>
      <c r="C8" s="45"/>
      <c r="D8" s="176">
        <f>+Budget!E29</f>
        <v>1779.9761506490386</v>
      </c>
      <c r="E8" s="176"/>
      <c r="F8" s="177"/>
      <c r="G8" s="176"/>
      <c r="H8" s="174"/>
      <c r="I8" s="44"/>
      <c r="J8" s="30"/>
    </row>
    <row r="9" spans="2:10" ht="12.75">
      <c r="B9" s="204" t="s">
        <v>69</v>
      </c>
      <c r="C9" s="45"/>
      <c r="D9" s="176">
        <f>+Budget!E34</f>
        <v>0.9211538461538462</v>
      </c>
      <c r="E9" s="176"/>
      <c r="F9" s="177"/>
      <c r="G9" s="178"/>
      <c r="H9" s="174"/>
      <c r="I9" s="44"/>
      <c r="J9" s="30"/>
    </row>
    <row r="10" spans="2:10" ht="12.75">
      <c r="B10" s="204" t="s">
        <v>59</v>
      </c>
      <c r="C10" s="45"/>
      <c r="D10" s="176">
        <f>+Budget!E35</f>
        <v>400</v>
      </c>
      <c r="E10" s="176"/>
      <c r="F10" s="177"/>
      <c r="G10" s="176"/>
      <c r="H10" s="174"/>
      <c r="I10" s="44"/>
      <c r="J10" s="30"/>
    </row>
    <row r="11" spans="2:9" ht="12.75">
      <c r="B11" s="205"/>
      <c r="C11" s="46"/>
      <c r="D11" s="175"/>
      <c r="E11" s="175"/>
      <c r="F11" s="148"/>
      <c r="G11" s="148"/>
      <c r="H11" s="174"/>
      <c r="I11" s="44"/>
    </row>
    <row r="12" spans="2:10" ht="12.75">
      <c r="B12" s="1" t="s">
        <v>70</v>
      </c>
      <c r="D12" s="175">
        <f>+SUM(D13:D14)</f>
        <v>2192.910326473215</v>
      </c>
      <c r="E12" s="175"/>
      <c r="F12" s="150"/>
      <c r="G12" s="148"/>
      <c r="H12" s="174">
        <f>+D12/$D$22</f>
        <v>16.868540972870882</v>
      </c>
      <c r="I12" s="44" t="s">
        <v>71</v>
      </c>
      <c r="J12" s="20"/>
    </row>
    <row r="13" spans="2:10" ht="12.75">
      <c r="B13" s="204" t="s">
        <v>72</v>
      </c>
      <c r="C13" s="45"/>
      <c r="D13" s="176">
        <f>+D7</f>
        <v>2180.8973044951927</v>
      </c>
      <c r="E13" s="176"/>
      <c r="F13" s="177"/>
      <c r="G13" s="179"/>
      <c r="H13" s="174"/>
      <c r="I13" s="44"/>
      <c r="J13" s="30"/>
    </row>
    <row r="14" spans="2:10" ht="12.75">
      <c r="B14" s="204" t="s">
        <v>73</v>
      </c>
      <c r="C14" s="45"/>
      <c r="D14" s="176">
        <f>+Budget!E32</f>
        <v>12.013021978021978</v>
      </c>
      <c r="E14" s="176"/>
      <c r="F14" s="177"/>
      <c r="G14" s="179"/>
      <c r="H14" s="174"/>
      <c r="I14" s="44"/>
      <c r="J14" s="30"/>
    </row>
    <row r="15" spans="2:9" ht="12.75">
      <c r="B15" s="23"/>
      <c r="C15" s="23"/>
      <c r="D15" s="175"/>
      <c r="E15" s="175"/>
      <c r="F15" s="148"/>
      <c r="G15" s="148"/>
      <c r="H15" s="174"/>
      <c r="I15" s="44"/>
    </row>
    <row r="16" spans="2:10" ht="12.75">
      <c r="B16" s="1" t="s">
        <v>74</v>
      </c>
      <c r="D16" s="175">
        <f>+SUM(D17:D20)</f>
        <v>2827.6725235169442</v>
      </c>
      <c r="E16" s="175"/>
      <c r="F16" s="150"/>
      <c r="G16" s="148"/>
      <c r="H16" s="174">
        <f>+D16/$D$22</f>
        <v>21.751327103976493</v>
      </c>
      <c r="I16" s="44" t="s">
        <v>75</v>
      </c>
      <c r="J16" s="20"/>
    </row>
    <row r="17" spans="2:10" ht="12.75">
      <c r="B17" s="204" t="s">
        <v>76</v>
      </c>
      <c r="C17" s="45"/>
      <c r="D17" s="176">
        <f>+D12</f>
        <v>2192.910326473215</v>
      </c>
      <c r="E17" s="176"/>
      <c r="F17" s="177"/>
      <c r="G17" s="179"/>
      <c r="H17" s="180"/>
      <c r="I17" s="47"/>
      <c r="J17" s="30"/>
    </row>
    <row r="18" spans="2:10" ht="12.75">
      <c r="B18" s="204" t="s">
        <v>77</v>
      </c>
      <c r="C18" s="23"/>
      <c r="D18" s="176">
        <f>+Budget!E33</f>
        <v>3.546442307692308</v>
      </c>
      <c r="E18" s="176"/>
      <c r="F18" s="181"/>
      <c r="G18" s="179"/>
      <c r="H18" s="180"/>
      <c r="I18" s="14"/>
      <c r="J18" s="27"/>
    </row>
    <row r="19" spans="2:10" ht="12.75">
      <c r="B19" s="204" t="s">
        <v>78</v>
      </c>
      <c r="C19" s="23"/>
      <c r="D19" s="176">
        <f>+Budget!E36</f>
        <v>100</v>
      </c>
      <c r="E19" s="176"/>
      <c r="F19" s="181"/>
      <c r="G19" s="179"/>
      <c r="H19" s="180"/>
      <c r="I19" s="14"/>
      <c r="J19" s="27"/>
    </row>
    <row r="20" spans="2:10" ht="12.75">
      <c r="B20" s="206" t="s">
        <v>230</v>
      </c>
      <c r="C20" s="48"/>
      <c r="D20" s="182">
        <f>+Budget!E37</f>
        <v>531.2157547360371</v>
      </c>
      <c r="E20" s="182"/>
      <c r="F20" s="181"/>
      <c r="G20" s="183"/>
      <c r="H20" s="180"/>
      <c r="I20" s="14"/>
      <c r="J20" s="27"/>
    </row>
    <row r="21" spans="2:10" ht="13.5" thickBot="1">
      <c r="B21" s="36"/>
      <c r="C21" s="36"/>
      <c r="D21" s="184"/>
      <c r="E21" s="184"/>
      <c r="F21" s="170"/>
      <c r="G21" s="170"/>
      <c r="H21" s="185"/>
      <c r="I21" s="36"/>
      <c r="J21" s="36"/>
    </row>
    <row r="22" spans="2:5" ht="12.75">
      <c r="B22" s="141" t="s">
        <v>232</v>
      </c>
      <c r="C22" s="141"/>
      <c r="D22" s="146">
        <f>Budget!E4</f>
        <v>130</v>
      </c>
      <c r="E22" s="141"/>
    </row>
    <row r="23" spans="2:4" ht="12.75">
      <c r="B23" s="141" t="s">
        <v>79</v>
      </c>
      <c r="C23" s="141"/>
      <c r="D23" s="141"/>
    </row>
    <row r="24" spans="2:4" ht="12.75">
      <c r="B24" s="141" t="s">
        <v>80</v>
      </c>
      <c r="C24" s="141"/>
      <c r="D24" s="141"/>
    </row>
    <row r="25" spans="2:4" ht="12.75">
      <c r="B25" s="141" t="s">
        <v>81</v>
      </c>
      <c r="C25" s="141"/>
      <c r="D25" s="141"/>
    </row>
    <row r="26" spans="2:4" ht="12.75">
      <c r="B26" s="141" t="s">
        <v>82</v>
      </c>
      <c r="C26" s="141"/>
      <c r="D26" s="141"/>
    </row>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B2:M15"/>
  <sheetViews>
    <sheetView workbookViewId="0" topLeftCell="A1">
      <selection activeCell="B2" sqref="B2:M12"/>
    </sheetView>
  </sheetViews>
  <sheetFormatPr defaultColWidth="9.140625" defaultRowHeight="15"/>
  <cols>
    <col min="1" max="1" width="5.7109375" style="1" customWidth="1"/>
    <col min="2" max="2" width="24.421875" style="1" customWidth="1"/>
    <col min="3" max="3" width="15.7109375" style="1" customWidth="1"/>
    <col min="4" max="4" width="2.7109375" style="1" customWidth="1"/>
    <col min="5" max="5" width="15.7109375" style="1" customWidth="1"/>
    <col min="6" max="6" width="2.7109375" style="1" customWidth="1"/>
    <col min="7" max="7" width="15.7109375" style="1"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4" width="2.7109375" style="1" customWidth="1"/>
    <col min="15" max="16384" width="9.140625" style="1" customWidth="1"/>
  </cols>
  <sheetData>
    <row r="2" spans="2:13" ht="13.5" thickBot="1">
      <c r="B2" s="35" t="s">
        <v>258</v>
      </c>
      <c r="C2" s="36"/>
      <c r="D2" s="36"/>
      <c r="E2" s="36"/>
      <c r="F2" s="36"/>
      <c r="G2" s="36"/>
      <c r="H2" s="36"/>
      <c r="I2" s="36"/>
      <c r="J2" s="36"/>
      <c r="K2" s="36"/>
      <c r="L2" s="36"/>
      <c r="M2" s="36"/>
    </row>
    <row r="3" spans="2:13" ht="12.75">
      <c r="B3" s="14"/>
      <c r="C3" s="218" t="s">
        <v>83</v>
      </c>
      <c r="D3" s="218"/>
      <c r="E3" s="218"/>
      <c r="F3" s="218"/>
      <c r="G3" s="218"/>
      <c r="H3" s="218"/>
      <c r="I3" s="218"/>
      <c r="J3" s="218"/>
      <c r="K3" s="218"/>
      <c r="L3" s="218"/>
      <c r="M3" s="218"/>
    </row>
    <row r="4" spans="2:13" ht="12.75">
      <c r="B4" s="21" t="s">
        <v>84</v>
      </c>
      <c r="C4" s="186">
        <v>15</v>
      </c>
      <c r="D4" s="49"/>
      <c r="E4" s="186">
        <f>C4+2</f>
        <v>17</v>
      </c>
      <c r="F4" s="49"/>
      <c r="G4" s="186">
        <f>E4+2</f>
        <v>19</v>
      </c>
      <c r="H4" s="49"/>
      <c r="I4" s="186">
        <f>G4+2</f>
        <v>21</v>
      </c>
      <c r="J4" s="49"/>
      <c r="K4" s="186">
        <f>I4+2</f>
        <v>23</v>
      </c>
      <c r="L4" s="49"/>
      <c r="M4" s="186">
        <f>K4+2</f>
        <v>25</v>
      </c>
    </row>
    <row r="5" spans="2:13" ht="12.75">
      <c r="B5" s="50">
        <v>115</v>
      </c>
      <c r="C5" s="187">
        <f>($B5*C$4)-(SUM(Budget!$E$10:$E$17,$B5*'Selected Inputs'!$D$28,$B5*'Selected Inputs'!$D$42,Budget!$E$21:$E$27)*(1+$C$13))-SUM(Budget!$E$32:$E$37)</f>
        <v>-1009.2000235169439</v>
      </c>
      <c r="D5" s="133">
        <f>($B5*D$4)-(SUM(Budget!$E$10:$E$17,$B5*'Selected Inputs'!$D$28,$B5*'Selected Inputs'!$D$42,Budget!$E$21:$E$27)*(1+$C$13))-SUM(Budget!$E$32:$E$37)</f>
        <v>-2734.200023516944</v>
      </c>
      <c r="E5" s="188">
        <f>($B5*E$4)-(SUM(Budget!$E$10:$E$17,$B5*'Selected Inputs'!$D$28,$B5*'Selected Inputs'!$D$42,Budget!$E$21:$E$27)*(1+$C$13))-SUM(Budget!$E$32:$E$37)</f>
        <v>-779.2000235169439</v>
      </c>
      <c r="F5" s="133">
        <f>($B5*F$4)-(SUM(Budget!$E$10:$E$17,$B5*'Selected Inputs'!$D$28,$B5*'Selected Inputs'!$D$42,Budget!$E$21:$E$27)*(1+$C$13))-SUM(Budget!$E$32:$E$37)</f>
        <v>-2734.200023516944</v>
      </c>
      <c r="G5" s="188">
        <f>($B5*G$4)-(SUM(Budget!$E$10:$E$17,$B5*'Selected Inputs'!$D$28,$B5*'Selected Inputs'!$D$42,Budget!$E$21:$E$27)*(1+$C$13))-SUM(Budget!$E$32:$E$37)</f>
        <v>-549.2000235169439</v>
      </c>
      <c r="H5" s="133">
        <f>($B5*H$4)-(SUM(Budget!$E$10:$E$17,$B5*'Selected Inputs'!$D$28,$B5*'Selected Inputs'!$D$42,Budget!$E$21:$E$27)*(1+$C$13))-SUM(Budget!$E$32:$E$37)</f>
        <v>-2734.200023516944</v>
      </c>
      <c r="I5" s="188">
        <f>($B5*I$4)-(SUM(Budget!$E$10:$E$17,$B5*'Selected Inputs'!$D$28,$B5*'Selected Inputs'!$D$42,Budget!$E$21:$E$27)*(1+$C$13))-SUM(Budget!$E$32:$E$37)</f>
        <v>-319.20002351694393</v>
      </c>
      <c r="J5" s="133">
        <f>($B5*J$4)-(SUM(Budget!$E$10:$E$17,$B5*'Selected Inputs'!$D$28,$B5*'Selected Inputs'!$D$42,Budget!$E$21:$E$27)*(1+$C$13))-SUM(Budget!$E$32:$E$37)</f>
        <v>-2734.200023516944</v>
      </c>
      <c r="K5" s="188">
        <f>($B5*K$4)-(SUM(Budget!$E$10:$E$17,$B5*'Selected Inputs'!$D$28,$B5*'Selected Inputs'!$D$42,Budget!$E$21:$E$27)*(1+$C$13))-SUM(Budget!$E$32:$E$37)</f>
        <v>-89.20002351694393</v>
      </c>
      <c r="L5" s="133">
        <f>($B5*L$4)-(SUM(Budget!$E$10:$E$17,$B5*'Selected Inputs'!$D$28,$B5*'Selected Inputs'!$D$42,Budget!$E$21:$E$27)*(1+$C$13))-SUM(Budget!$E$32:$E$37)</f>
        <v>-2734.200023516944</v>
      </c>
      <c r="M5" s="188">
        <f>($B5*M$4)-(SUM(Budget!$E$10:$E$17,$B5*'Selected Inputs'!$D$28,$B5*'Selected Inputs'!$D$42,Budget!$E$21:$E$27)*(1+$C$13))-SUM(Budget!$E$32:$E$37)</f>
        <v>140.79997648305607</v>
      </c>
    </row>
    <row r="6" spans="2:13" ht="12.75">
      <c r="B6" s="50">
        <f>+B5+5</f>
        <v>120</v>
      </c>
      <c r="C6" s="187">
        <f>($B6*C$4)-(SUM(Budget!$E$10:$E$17,$B6*'Selected Inputs'!$D$28,$B6*'Selected Inputs'!$D$42,Budget!$E$21:$E$27)*(1+$C$13))-SUM(Budget!$E$32:$E$37)</f>
        <v>-965.357523516944</v>
      </c>
      <c r="D6" s="32">
        <f>($B6*D$4)-(SUM(Budget!$E$10:$E$17,$B6*'Selected Inputs'!$D$28,$B6*'Selected Inputs'!$D$42,Budget!$E$21:$E$27)*(1+$C$13))-SUM(Budget!$E$32:$E$37)</f>
        <v>-2765.3575235169437</v>
      </c>
      <c r="E6" s="187">
        <f>($B6*E$4)-(SUM(Budget!$E$10:$E$17,$B6*'Selected Inputs'!$D$28,$B6*'Selected Inputs'!$D$42,Budget!$E$21:$E$27)*(1+$C$13))-SUM(Budget!$E$32:$E$37)</f>
        <v>-725.357523516944</v>
      </c>
      <c r="F6" s="32">
        <f>($B6*F$4)-(SUM(Budget!$E$10:$E$17,$B6*'Selected Inputs'!$D$28,$B6*'Selected Inputs'!$D$42,Budget!$E$21:$E$27)*(1+$C$13))-SUM(Budget!$E$32:$E$37)</f>
        <v>-2765.3575235169437</v>
      </c>
      <c r="G6" s="187">
        <f>($B6*G$4)-(SUM(Budget!$E$10:$E$17,$B6*'Selected Inputs'!$D$28,$B6*'Selected Inputs'!$D$42,Budget!$E$21:$E$27)*(1+$C$13))-SUM(Budget!$E$32:$E$37)</f>
        <v>-485.35752351694396</v>
      </c>
      <c r="H6" s="32">
        <f>($B6*H$4)-(SUM(Budget!$E$10:$E$17,$B6*'Selected Inputs'!$D$28,$B6*'Selected Inputs'!$D$42,Budget!$E$21:$E$27)*(1+$C$13))-SUM(Budget!$E$32:$E$37)</f>
        <v>-2765.3575235169437</v>
      </c>
      <c r="I6" s="187">
        <f>($B6*I$4)-(SUM(Budget!$E$10:$E$17,$B6*'Selected Inputs'!$D$28,$B6*'Selected Inputs'!$D$42,Budget!$E$21:$E$27)*(1+$C$13))-SUM(Budget!$E$32:$E$37)</f>
        <v>-245.35752351694396</v>
      </c>
      <c r="J6" s="32">
        <f>($B6*J$4)-(SUM(Budget!$E$10:$E$17,$B6*'Selected Inputs'!$D$28,$B6*'Selected Inputs'!$D$42,Budget!$E$21:$E$27)*(1+$C$13))-SUM(Budget!$E$32:$E$37)</f>
        <v>-2765.3575235169437</v>
      </c>
      <c r="K6" s="187">
        <f>($B6*K$4)-(SUM(Budget!$E$10:$E$17,$B6*'Selected Inputs'!$D$28,$B6*'Selected Inputs'!$D$42,Budget!$E$21:$E$27)*(1+$C$13))-SUM(Budget!$E$32:$E$37)</f>
        <v>-5.357523516943957</v>
      </c>
      <c r="L6" s="32">
        <f>($B6*L$4)-(SUM(Budget!$E$10:$E$17,$B6*'Selected Inputs'!$D$28,$B6*'Selected Inputs'!$D$42,Budget!$E$21:$E$27)*(1+$C$13))-SUM(Budget!$E$32:$E$37)</f>
        <v>-2765.3575235169437</v>
      </c>
      <c r="M6" s="187">
        <f>($B6*M$4)-(SUM(Budget!$E$10:$E$17,$B6*'Selected Inputs'!$D$28,$B6*'Selected Inputs'!$D$42,Budget!$E$21:$E$27)*(1+$C$13))-SUM(Budget!$E$32:$E$37)</f>
        <v>234.64247648305604</v>
      </c>
    </row>
    <row r="7" spans="2:13" ht="12.75">
      <c r="B7" s="50">
        <f aca="true" t="shared" si="0" ref="B7:B12">+B6+5</f>
        <v>125</v>
      </c>
      <c r="C7" s="187">
        <f>($B7*C$4)-(SUM(Budget!$E$10:$E$17,$B7*'Selected Inputs'!$D$28,$B7*'Selected Inputs'!$D$42,Budget!$E$21:$E$27)*(1+$C$13))-SUM(Budget!$E$32:$E$37)</f>
        <v>-921.5150235169438</v>
      </c>
      <c r="D7" s="32">
        <f>($B7*D$4)-(SUM(Budget!$E$10:$E$17,$B7*'Selected Inputs'!$D$28,$B7*'Selected Inputs'!$D$42,Budget!$E$21:$E$27)*(1+$C$13))-SUM(Budget!$E$32:$E$37)</f>
        <v>-2796.515023516944</v>
      </c>
      <c r="E7" s="187">
        <f>($B7*E$4)-(SUM(Budget!$E$10:$E$17,$B7*'Selected Inputs'!$D$28,$B7*'Selected Inputs'!$D$42,Budget!$E$21:$E$27)*(1+$C$13))-SUM(Budget!$E$32:$E$37)</f>
        <v>-671.5150235169438</v>
      </c>
      <c r="F7" s="32">
        <f>($B7*F$4)-(SUM(Budget!$E$10:$E$17,$B7*'Selected Inputs'!$D$28,$B7*'Selected Inputs'!$D$42,Budget!$E$21:$E$27)*(1+$C$13))-SUM(Budget!$E$32:$E$37)</f>
        <v>-2796.515023516944</v>
      </c>
      <c r="G7" s="187">
        <f>($B7*G$4)-(SUM(Budget!$E$10:$E$17,$B7*'Selected Inputs'!$D$28,$B7*'Selected Inputs'!$D$42,Budget!$E$21:$E$27)*(1+$C$13))-SUM(Budget!$E$32:$E$37)</f>
        <v>-421.51502351694376</v>
      </c>
      <c r="H7" s="32">
        <f>($B7*H$4)-(SUM(Budget!$E$10:$E$17,$B7*'Selected Inputs'!$D$28,$B7*'Selected Inputs'!$D$42,Budget!$E$21:$E$27)*(1+$C$13))-SUM(Budget!$E$32:$E$37)</f>
        <v>-2796.515023516944</v>
      </c>
      <c r="I7" s="187">
        <f>($B7*I$4)-(SUM(Budget!$E$10:$E$17,$B7*'Selected Inputs'!$D$28,$B7*'Selected Inputs'!$D$42,Budget!$E$21:$E$27)*(1+$C$13))-SUM(Budget!$E$32:$E$37)</f>
        <v>-171.51502351694376</v>
      </c>
      <c r="J7" s="32">
        <f>($B7*J$4)-(SUM(Budget!$E$10:$E$17,$B7*'Selected Inputs'!$D$28,$B7*'Selected Inputs'!$D$42,Budget!$E$21:$E$27)*(1+$C$13))-SUM(Budget!$E$32:$E$37)</f>
        <v>-2796.515023516944</v>
      </c>
      <c r="K7" s="187">
        <f>($B7*K$4)-(SUM(Budget!$E$10:$E$17,$B7*'Selected Inputs'!$D$28,$B7*'Selected Inputs'!$D$42,Budget!$E$21:$E$27)*(1+$C$13))-SUM(Budget!$E$32:$E$37)</f>
        <v>78.48497648305624</v>
      </c>
      <c r="L7" s="32">
        <f>($B7*L$4)-(SUM(Budget!$E$10:$E$17,$B7*'Selected Inputs'!$D$28,$B7*'Selected Inputs'!$D$42,Budget!$E$21:$E$27)*(1+$C$13))-SUM(Budget!$E$32:$E$37)</f>
        <v>-2796.515023516944</v>
      </c>
      <c r="M7" s="187">
        <f>($B7*M$4)-(SUM(Budget!$E$10:$E$17,$B7*'Selected Inputs'!$D$28,$B7*'Selected Inputs'!$D$42,Budget!$E$21:$E$27)*(1+$C$13))-SUM(Budget!$E$32:$E$37)</f>
        <v>328.48497648305624</v>
      </c>
    </row>
    <row r="8" spans="2:13" ht="12.75">
      <c r="B8" s="50">
        <f t="shared" si="0"/>
        <v>130</v>
      </c>
      <c r="C8" s="187">
        <f>($B8*C$4)-(SUM(Budget!$E$10:$E$17,$B8*'Selected Inputs'!$D$28,$B8*'Selected Inputs'!$D$42,Budget!$E$21:$E$27)*(1+$C$13))-SUM(Budget!$E$32:$E$37)</f>
        <v>-877.6725235169438</v>
      </c>
      <c r="D8" s="32">
        <f>($B8*D$4)-(SUM(Budget!$E$10:$E$17,$B8*'Selected Inputs'!$D$28,$B8*'Selected Inputs'!$D$42,Budget!$E$21:$E$27)*(1+$C$13))-SUM(Budget!$E$32:$E$37)</f>
        <v>-2827.672523516944</v>
      </c>
      <c r="E8" s="187">
        <f>($B8*E$4)-(SUM(Budget!$E$10:$E$17,$B8*'Selected Inputs'!$D$28,$B8*'Selected Inputs'!$D$42,Budget!$E$21:$E$27)*(1+$C$13))-SUM(Budget!$E$32:$E$37)</f>
        <v>-617.6725235169438</v>
      </c>
      <c r="F8" s="32">
        <f>($B8*F$4)-(SUM(Budget!$E$10:$E$17,$B8*'Selected Inputs'!$D$28,$B8*'Selected Inputs'!$D$42,Budget!$E$21:$E$27)*(1+$C$13))-SUM(Budget!$E$32:$E$37)</f>
        <v>-2827.672523516944</v>
      </c>
      <c r="G8" s="187">
        <f>($B8*G$4)-(SUM(Budget!$E$10:$E$17,$B8*'Selected Inputs'!$D$28,$B8*'Selected Inputs'!$D$42,Budget!$E$21:$E$27)*(1+$C$13))-SUM(Budget!$E$32:$E$37)</f>
        <v>-357.6725235169438</v>
      </c>
      <c r="H8" s="32">
        <f>($B8*H$4)-(SUM(Budget!$E$10:$E$17,$B8*'Selected Inputs'!$D$28,$B8*'Selected Inputs'!$D$42,Budget!$E$21:$E$27)*(1+$C$13))-SUM(Budget!$E$32:$E$37)</f>
        <v>-2827.672523516944</v>
      </c>
      <c r="I8" s="187">
        <f>($B8*I$4)-(SUM(Budget!$E$10:$E$17,$B8*'Selected Inputs'!$D$28,$B8*'Selected Inputs'!$D$42,Budget!$E$21:$E$27)*(1+$C$13))-SUM(Budget!$E$32:$E$37)</f>
        <v>-97.67252351694378</v>
      </c>
      <c r="J8" s="32">
        <f>($B8*J$4)-(SUM(Budget!$E$10:$E$17,$B8*'Selected Inputs'!$D$28,$B8*'Selected Inputs'!$D$42,Budget!$E$21:$E$27)*(1+$C$13))-SUM(Budget!$E$32:$E$37)</f>
        <v>-2827.672523516944</v>
      </c>
      <c r="K8" s="187">
        <f>($B8*K$4)-(SUM(Budget!$E$10:$E$17,$B8*'Selected Inputs'!$D$28,$B8*'Selected Inputs'!$D$42,Budget!$E$21:$E$27)*(1+$C$13))-SUM(Budget!$E$32:$E$37)</f>
        <v>162.32747648305622</v>
      </c>
      <c r="L8" s="32">
        <f>($B8*L$4)-(SUM(Budget!$E$10:$E$17,$B8*'Selected Inputs'!$D$28,$B8*'Selected Inputs'!$D$42,Budget!$E$21:$E$27)*(1+$C$13))-SUM(Budget!$E$32:$E$37)</f>
        <v>-2827.672523516944</v>
      </c>
      <c r="M8" s="187">
        <f>($B8*M$4)-(SUM(Budget!$E$10:$E$17,$B8*'Selected Inputs'!$D$28,$B8*'Selected Inputs'!$D$42,Budget!$E$21:$E$27)*(1+$C$13))-SUM(Budget!$E$32:$E$37)</f>
        <v>422.3274764830562</v>
      </c>
    </row>
    <row r="9" spans="2:13" ht="12.75">
      <c r="B9" s="50">
        <f t="shared" si="0"/>
        <v>135</v>
      </c>
      <c r="C9" s="187">
        <f>($B9*C$4)-(SUM(Budget!$E$10:$E$17,$B9*'Selected Inputs'!$D$28,$B9*'Selected Inputs'!$D$42,Budget!$E$21:$E$27)*(1+$C$13))-SUM(Budget!$E$32:$E$37)</f>
        <v>-833.8300235169438</v>
      </c>
      <c r="D9" s="32">
        <f>($B9*D$4)-(SUM(Budget!$E$10:$E$17,$B9*'Selected Inputs'!$D$28,$B9*'Selected Inputs'!$D$42,Budget!$E$21:$E$27)*(1+$C$13))-SUM(Budget!$E$32:$E$37)</f>
        <v>-2858.8300235169436</v>
      </c>
      <c r="E9" s="187">
        <f>($B9*E$4)-(SUM(Budget!$E$10:$E$17,$B9*'Selected Inputs'!$D$28,$B9*'Selected Inputs'!$D$42,Budget!$E$21:$E$27)*(1+$C$13))-SUM(Budget!$E$32:$E$37)</f>
        <v>-563.8300235169438</v>
      </c>
      <c r="F9" s="32">
        <f>($B9*F$4)-(SUM(Budget!$E$10:$E$17,$B9*'Selected Inputs'!$D$28,$B9*'Selected Inputs'!$D$42,Budget!$E$21:$E$27)*(1+$C$13))-SUM(Budget!$E$32:$E$37)</f>
        <v>-2858.8300235169436</v>
      </c>
      <c r="G9" s="187">
        <f>($B9*G$4)-(SUM(Budget!$E$10:$E$17,$B9*'Selected Inputs'!$D$28,$B9*'Selected Inputs'!$D$42,Budget!$E$21:$E$27)*(1+$C$13))-SUM(Budget!$E$32:$E$37)</f>
        <v>-293.8300235169438</v>
      </c>
      <c r="H9" s="32">
        <f>($B9*H$4)-(SUM(Budget!$E$10:$E$17,$B9*'Selected Inputs'!$D$28,$B9*'Selected Inputs'!$D$42,Budget!$E$21:$E$27)*(1+$C$13))-SUM(Budget!$E$32:$E$37)</f>
        <v>-2858.8300235169436</v>
      </c>
      <c r="I9" s="187">
        <f>($B9*I$4)-(SUM(Budget!$E$10:$E$17,$B9*'Selected Inputs'!$D$28,$B9*'Selected Inputs'!$D$42,Budget!$E$21:$E$27)*(1+$C$13))-SUM(Budget!$E$32:$E$37)</f>
        <v>-23.83002351694381</v>
      </c>
      <c r="J9" s="32">
        <f>($B9*J$4)-(SUM(Budget!$E$10:$E$17,$B9*'Selected Inputs'!$D$28,$B9*'Selected Inputs'!$D$42,Budget!$E$21:$E$27)*(1+$C$13))-SUM(Budget!$E$32:$E$37)</f>
        <v>-2858.8300235169436</v>
      </c>
      <c r="K9" s="187">
        <f>($B9*K$4)-(SUM(Budget!$E$10:$E$17,$B9*'Selected Inputs'!$D$28,$B9*'Selected Inputs'!$D$42,Budget!$E$21:$E$27)*(1+$C$13))-SUM(Budget!$E$32:$E$37)</f>
        <v>246.1699764830562</v>
      </c>
      <c r="L9" s="32">
        <f>($B9*L$4)-(SUM(Budget!$E$10:$E$17,$B9*'Selected Inputs'!$D$28,$B9*'Selected Inputs'!$D$42,Budget!$E$21:$E$27)*(1+$C$13))-SUM(Budget!$E$32:$E$37)</f>
        <v>-2858.8300235169436</v>
      </c>
      <c r="M9" s="187">
        <f>($B9*M$4)-(SUM(Budget!$E$10:$E$17,$B9*'Selected Inputs'!$D$28,$B9*'Selected Inputs'!$D$42,Budget!$E$21:$E$27)*(1+$C$13))-SUM(Budget!$E$32:$E$37)</f>
        <v>516.1699764830562</v>
      </c>
    </row>
    <row r="10" spans="2:13" ht="12.75">
      <c r="B10" s="50">
        <f t="shared" si="0"/>
        <v>140</v>
      </c>
      <c r="C10" s="187">
        <f>($B10*C$4)-(SUM(Budget!$E$10:$E$17,$B10*'Selected Inputs'!$D$28,$B10*'Selected Inputs'!$D$42,Budget!$E$21:$E$27)*(1+$C$13))-SUM(Budget!$E$32:$E$37)</f>
        <v>-789.9875235169438</v>
      </c>
      <c r="D10" s="32">
        <f>($B10*D$4)-(SUM(Budget!$E$10:$E$17,$B10*'Selected Inputs'!$D$28,$B10*'Selected Inputs'!$D$42,Budget!$E$21:$E$27)*(1+$C$13))-SUM(Budget!$E$32:$E$37)</f>
        <v>-2889.987523516944</v>
      </c>
      <c r="E10" s="187">
        <f>($B10*E$4)-(SUM(Budget!$E$10:$E$17,$B10*'Selected Inputs'!$D$28,$B10*'Selected Inputs'!$D$42,Budget!$E$21:$E$27)*(1+$C$13))-SUM(Budget!$E$32:$E$37)</f>
        <v>-509.98752351694384</v>
      </c>
      <c r="F10" s="32">
        <f>($B10*F$4)-(SUM(Budget!$E$10:$E$17,$B10*'Selected Inputs'!$D$28,$B10*'Selected Inputs'!$D$42,Budget!$E$21:$E$27)*(1+$C$13))-SUM(Budget!$E$32:$E$37)</f>
        <v>-2889.987523516944</v>
      </c>
      <c r="G10" s="187">
        <f>($B10*G$4)-(SUM(Budget!$E$10:$E$17,$B10*'Selected Inputs'!$D$28,$B10*'Selected Inputs'!$D$42,Budget!$E$21:$E$27)*(1+$C$13))-SUM(Budget!$E$32:$E$37)</f>
        <v>-229.98752351694384</v>
      </c>
      <c r="H10" s="32">
        <f>($B10*H$4)-(SUM(Budget!$E$10:$E$17,$B10*'Selected Inputs'!$D$28,$B10*'Selected Inputs'!$D$42,Budget!$E$21:$E$27)*(1+$C$13))-SUM(Budget!$E$32:$E$37)</f>
        <v>-2889.987523516944</v>
      </c>
      <c r="I10" s="187">
        <f>($B10*I$4)-(SUM(Budget!$E$10:$E$17,$B10*'Selected Inputs'!$D$28,$B10*'Selected Inputs'!$D$42,Budget!$E$21:$E$27)*(1+$C$13))-SUM(Budget!$E$32:$E$37)</f>
        <v>50.01247648305616</v>
      </c>
      <c r="J10" s="32">
        <f>($B10*J$4)-(SUM(Budget!$E$10:$E$17,$B10*'Selected Inputs'!$D$28,$B10*'Selected Inputs'!$D$42,Budget!$E$21:$E$27)*(1+$C$13))-SUM(Budget!$E$32:$E$37)</f>
        <v>-2889.987523516944</v>
      </c>
      <c r="K10" s="187">
        <f>($B10*K$4)-(SUM(Budget!$E$10:$E$17,$B10*'Selected Inputs'!$D$28,$B10*'Selected Inputs'!$D$42,Budget!$E$21:$E$27)*(1+$C$13))-SUM(Budget!$E$32:$E$37)</f>
        <v>330.01247648305616</v>
      </c>
      <c r="L10" s="32">
        <f>($B10*L$4)-(SUM(Budget!$E$10:$E$17,$B10*'Selected Inputs'!$D$28,$B10*'Selected Inputs'!$D$42,Budget!$E$21:$E$27)*(1+$C$13))-SUM(Budget!$E$32:$E$37)</f>
        <v>-2889.987523516944</v>
      </c>
      <c r="M10" s="187">
        <f>($B10*M$4)-(SUM(Budget!$E$10:$E$17,$B10*'Selected Inputs'!$D$28,$B10*'Selected Inputs'!$D$42,Budget!$E$21:$E$27)*(1+$C$13))-SUM(Budget!$E$32:$E$37)</f>
        <v>610.0124764830562</v>
      </c>
    </row>
    <row r="11" spans="2:13" ht="12.75">
      <c r="B11" s="50">
        <f t="shared" si="0"/>
        <v>145</v>
      </c>
      <c r="C11" s="187">
        <f>($B11*C$4)-(SUM(Budget!$E$10:$E$17,$B11*'Selected Inputs'!$D$28,$B11*'Selected Inputs'!$D$42,Budget!$E$21:$E$27)*(1+$C$13))-SUM(Budget!$E$32:$E$37)</f>
        <v>-746.1450235169439</v>
      </c>
      <c r="D11" s="32">
        <f>($B11*D$4)-(SUM(Budget!$E$10:$E$17,$B11*'Selected Inputs'!$D$28,$B11*'Selected Inputs'!$D$42,Budget!$E$21:$E$27)*(1+$C$13))-SUM(Budget!$E$32:$E$37)</f>
        <v>-2921.145023516944</v>
      </c>
      <c r="E11" s="187">
        <f>($B11*E$4)-(SUM(Budget!$E$10:$E$17,$B11*'Selected Inputs'!$D$28,$B11*'Selected Inputs'!$D$42,Budget!$E$21:$E$27)*(1+$C$13))-SUM(Budget!$E$32:$E$37)</f>
        <v>-456.14502351694387</v>
      </c>
      <c r="F11" s="32">
        <f>($B11*F$4)-(SUM(Budget!$E$10:$E$17,$B11*'Selected Inputs'!$D$28,$B11*'Selected Inputs'!$D$42,Budget!$E$21:$E$27)*(1+$C$13))-SUM(Budget!$E$32:$E$37)</f>
        <v>-2921.145023516944</v>
      </c>
      <c r="G11" s="187">
        <f>($B11*G$4)-(SUM(Budget!$E$10:$E$17,$B11*'Selected Inputs'!$D$28,$B11*'Selected Inputs'!$D$42,Budget!$E$21:$E$27)*(1+$C$13))-SUM(Budget!$E$32:$E$37)</f>
        <v>-166.14502351694387</v>
      </c>
      <c r="H11" s="32">
        <f>($B11*H$4)-(SUM(Budget!$E$10:$E$17,$B11*'Selected Inputs'!$D$28,$B11*'Selected Inputs'!$D$42,Budget!$E$21:$E$27)*(1+$C$13))-SUM(Budget!$E$32:$E$37)</f>
        <v>-2921.145023516944</v>
      </c>
      <c r="I11" s="187">
        <f>($B11*I$4)-(SUM(Budget!$E$10:$E$17,$B11*'Selected Inputs'!$D$28,$B11*'Selected Inputs'!$D$42,Budget!$E$21:$E$27)*(1+$C$13))-SUM(Budget!$E$32:$E$37)</f>
        <v>123.85497648305613</v>
      </c>
      <c r="J11" s="32">
        <f>($B11*J$4)-(SUM(Budget!$E$10:$E$17,$B11*'Selected Inputs'!$D$28,$B11*'Selected Inputs'!$D$42,Budget!$E$21:$E$27)*(1+$C$13))-SUM(Budget!$E$32:$E$37)</f>
        <v>-2921.145023516944</v>
      </c>
      <c r="K11" s="187">
        <f>($B11*K$4)-(SUM(Budget!$E$10:$E$17,$B11*'Selected Inputs'!$D$28,$B11*'Selected Inputs'!$D$42,Budget!$E$21:$E$27)*(1+$C$13))-SUM(Budget!$E$32:$E$37)</f>
        <v>413.85497648305613</v>
      </c>
      <c r="L11" s="32">
        <f>($B11*L$4)-(SUM(Budget!$E$10:$E$17,$B11*'Selected Inputs'!$D$28,$B11*'Selected Inputs'!$D$42,Budget!$E$21:$E$27)*(1+$C$13))-SUM(Budget!$E$32:$E$37)</f>
        <v>-2921.145023516944</v>
      </c>
      <c r="M11" s="187">
        <f>($B11*M$4)-(SUM(Budget!$E$10:$E$17,$B11*'Selected Inputs'!$D$28,$B11*'Selected Inputs'!$D$42,Budget!$E$21:$E$27)*(1+$C$13))-SUM(Budget!$E$32:$E$37)</f>
        <v>703.8549764830561</v>
      </c>
    </row>
    <row r="12" spans="2:13" ht="13.5" thickBot="1">
      <c r="B12" s="51">
        <f t="shared" si="0"/>
        <v>150</v>
      </c>
      <c r="C12" s="189">
        <f>($B12*C$4)-(SUM(Budget!$E$10:$E$17,$B12*'Selected Inputs'!$D$28,$B12*'Selected Inputs'!$D$42,Budget!$E$21:$E$27)*(1+$C$13))-SUM(Budget!$E$32:$E$37)</f>
        <v>-702.3025235169439</v>
      </c>
      <c r="D12" s="37">
        <f>($B12*D$4)-(SUM(Budget!$E$10:$E$17,$B12*'Selected Inputs'!$D$28,$B12*'Selected Inputs'!$D$42,Budget!$E$21:$E$27)*(1+$C$13))-SUM(Budget!$E$32:$E$37)</f>
        <v>-2952.302523516944</v>
      </c>
      <c r="E12" s="189">
        <f>($B12*E$4)-(SUM(Budget!$E$10:$E$17,$B12*'Selected Inputs'!$D$28,$B12*'Selected Inputs'!$D$42,Budget!$E$21:$E$27)*(1+$C$13))-SUM(Budget!$E$32:$E$37)</f>
        <v>-402.3025235169439</v>
      </c>
      <c r="F12" s="37">
        <f>($B12*F$4)-(SUM(Budget!$E$10:$E$17,$B12*'Selected Inputs'!$D$28,$B12*'Selected Inputs'!$D$42,Budget!$E$21:$E$27)*(1+$C$13))-SUM(Budget!$E$32:$E$37)</f>
        <v>-2952.302523516944</v>
      </c>
      <c r="G12" s="189">
        <f>($B12*G$4)-(SUM(Budget!$E$10:$E$17,$B12*'Selected Inputs'!$D$28,$B12*'Selected Inputs'!$D$42,Budget!$E$21:$E$27)*(1+$C$13))-SUM(Budget!$E$32:$E$37)</f>
        <v>-102.3025235169439</v>
      </c>
      <c r="H12" s="37">
        <f>($B12*H$4)-(SUM(Budget!$E$10:$E$17,$B12*'Selected Inputs'!$D$28,$B12*'Selected Inputs'!$D$42,Budget!$E$21:$E$27)*(1+$C$13))-SUM(Budget!$E$32:$E$37)</f>
        <v>-2952.302523516944</v>
      </c>
      <c r="I12" s="189">
        <f>($B12*I$4)-(SUM(Budget!$E$10:$E$17,$B12*'Selected Inputs'!$D$28,$B12*'Selected Inputs'!$D$42,Budget!$E$21:$E$27)*(1+$C$13))-SUM(Budget!$E$32:$E$37)</f>
        <v>197.6974764830561</v>
      </c>
      <c r="J12" s="37">
        <f>($B12*J$4)-(SUM(Budget!$E$10:$E$17,$B12*'Selected Inputs'!$D$28,$B12*'Selected Inputs'!$D$42,Budget!$E$21:$E$27)*(1+$C$13))-SUM(Budget!$E$32:$E$37)</f>
        <v>-2952.302523516944</v>
      </c>
      <c r="K12" s="189">
        <f>($B12*K$4)-(SUM(Budget!$E$10:$E$17,$B12*'Selected Inputs'!$D$28,$B12*'Selected Inputs'!$D$42,Budget!$E$21:$E$27)*(1+$C$13))-SUM(Budget!$E$32:$E$37)</f>
        <v>497.6974764830561</v>
      </c>
      <c r="L12" s="37">
        <f>($B12*L$4)-(SUM(Budget!$E$10:$E$17,$B12*'Selected Inputs'!$D$28,$B12*'Selected Inputs'!$D$42,Budget!$E$21:$E$27)*(1+$C$13))-SUM(Budget!$E$32:$E$37)</f>
        <v>-2952.302523516944</v>
      </c>
      <c r="M12" s="189">
        <f>($B12*M$4)-(SUM(Budget!$E$10:$E$17,$B12*'Selected Inputs'!$D$28,$B12*'Selected Inputs'!$D$42,Budget!$E$21:$E$27)*(1+$C$13))-SUM(Budget!$E$32:$E$37)</f>
        <v>797.6974764830561</v>
      </c>
    </row>
    <row r="13" spans="2:6" ht="12.75">
      <c r="B13" s="14" t="s">
        <v>257</v>
      </c>
      <c r="C13" s="52">
        <v>0.03</v>
      </c>
      <c r="D13" s="53"/>
      <c r="E13" s="14"/>
      <c r="F13" s="14"/>
    </row>
    <row r="14" spans="2:6" ht="12.75">
      <c r="B14" s="14"/>
      <c r="C14" s="52"/>
      <c r="D14" s="53"/>
      <c r="E14" s="14"/>
      <c r="F14" s="14"/>
    </row>
    <row r="15" spans="2:6" ht="12.75">
      <c r="B15" s="14"/>
      <c r="C15" s="52"/>
      <c r="D15" s="53"/>
      <c r="E15" s="14"/>
      <c r="F15" s="14"/>
    </row>
  </sheetData>
  <sheetProtection/>
  <mergeCells count="1">
    <mergeCell ref="C3:M3"/>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B1:K21"/>
  <sheetViews>
    <sheetView workbookViewId="0" topLeftCell="A1">
      <selection activeCell="E13" sqref="E13"/>
    </sheetView>
  </sheetViews>
  <sheetFormatPr defaultColWidth="9.140625" defaultRowHeight="15"/>
  <cols>
    <col min="1" max="1" width="5.7109375" style="1" customWidth="1"/>
    <col min="2" max="2" width="41.8515625" style="1" customWidth="1"/>
    <col min="3" max="3" width="19.421875" style="1" customWidth="1"/>
    <col min="4" max="4" width="16.28125" style="1" customWidth="1"/>
    <col min="5" max="5" width="22.421875" style="1" customWidth="1"/>
    <col min="6" max="6" width="22.421875" style="14" customWidth="1"/>
    <col min="7" max="10" width="13.8515625" style="14" customWidth="1"/>
    <col min="11" max="11" width="9.140625" style="14" customWidth="1"/>
    <col min="12" max="16384" width="9.140625" style="1" customWidth="1"/>
  </cols>
  <sheetData>
    <row r="1" spans="10:11" ht="12.75">
      <c r="J1" s="1"/>
      <c r="K1" s="1"/>
    </row>
    <row r="2" spans="2:11" ht="12.75">
      <c r="B2" s="219" t="s">
        <v>250</v>
      </c>
      <c r="C2" s="219"/>
      <c r="D2" s="219"/>
      <c r="E2" s="219"/>
      <c r="F2" s="54"/>
      <c r="J2" s="1"/>
      <c r="K2" s="1"/>
    </row>
    <row r="3" spans="2:11" ht="12.75">
      <c r="B3" s="55"/>
      <c r="C3" s="56" t="s">
        <v>0</v>
      </c>
      <c r="D3" s="56" t="s">
        <v>1</v>
      </c>
      <c r="E3" s="56" t="s">
        <v>2</v>
      </c>
      <c r="F3" s="57"/>
      <c r="G3" s="57"/>
      <c r="H3" s="57"/>
      <c r="I3" s="57"/>
      <c r="J3" s="1"/>
      <c r="K3" s="1"/>
    </row>
    <row r="4" spans="2:11" ht="12.75">
      <c r="B4" s="58" t="s">
        <v>3</v>
      </c>
      <c r="C4" s="190">
        <v>225000</v>
      </c>
      <c r="D4" s="60">
        <v>1</v>
      </c>
      <c r="E4" s="191">
        <f>+C4*D4</f>
        <v>225000</v>
      </c>
      <c r="F4" s="61"/>
      <c r="G4" s="61"/>
      <c r="H4" s="61"/>
      <c r="I4" s="61"/>
      <c r="J4" s="1"/>
      <c r="K4" s="1"/>
    </row>
    <row r="5" spans="2:11" ht="12.75">
      <c r="B5" s="58" t="s">
        <v>4</v>
      </c>
      <c r="C5" s="190">
        <v>125000</v>
      </c>
      <c r="D5" s="60">
        <v>1</v>
      </c>
      <c r="E5" s="191">
        <f aca="true" t="shared" si="0" ref="E5:E14">+C5*D5</f>
        <v>125000</v>
      </c>
      <c r="F5" s="61"/>
      <c r="G5" s="61"/>
      <c r="H5" s="61"/>
      <c r="I5" s="61"/>
      <c r="J5" s="1"/>
      <c r="K5" s="1"/>
    </row>
    <row r="6" spans="2:11" ht="12.75">
      <c r="B6" s="58" t="s">
        <v>5</v>
      </c>
      <c r="C6" s="190">
        <v>18000</v>
      </c>
      <c r="D6" s="60">
        <v>1</v>
      </c>
      <c r="E6" s="191">
        <f t="shared" si="0"/>
        <v>18000</v>
      </c>
      <c r="F6" s="61"/>
      <c r="G6" s="61"/>
      <c r="H6" s="61"/>
      <c r="I6" s="61"/>
      <c r="J6" s="1"/>
      <c r="K6" s="1"/>
    </row>
    <row r="7" spans="2:11" ht="12.75">
      <c r="B7" s="58" t="s">
        <v>87</v>
      </c>
      <c r="C7" s="190">
        <v>18000</v>
      </c>
      <c r="D7" s="60">
        <v>1</v>
      </c>
      <c r="E7" s="191">
        <f t="shared" si="0"/>
        <v>18000</v>
      </c>
      <c r="F7" s="61"/>
      <c r="G7" s="61"/>
      <c r="H7" s="61"/>
      <c r="I7" s="61"/>
      <c r="J7" s="1"/>
      <c r="K7" s="1"/>
    </row>
    <row r="8" spans="2:11" ht="12.75">
      <c r="B8" s="58" t="s">
        <v>88</v>
      </c>
      <c r="C8" s="190">
        <v>15000</v>
      </c>
      <c r="D8" s="60">
        <v>1</v>
      </c>
      <c r="E8" s="191">
        <f t="shared" si="0"/>
        <v>15000</v>
      </c>
      <c r="F8" s="61"/>
      <c r="G8" s="61"/>
      <c r="H8" s="61"/>
      <c r="I8" s="61"/>
      <c r="J8" s="1"/>
      <c r="K8" s="1"/>
    </row>
    <row r="9" spans="2:11" ht="12.75">
      <c r="B9" s="58" t="s">
        <v>89</v>
      </c>
      <c r="C9" s="190">
        <v>10000</v>
      </c>
      <c r="D9" s="60">
        <v>1</v>
      </c>
      <c r="E9" s="191">
        <f t="shared" si="0"/>
        <v>10000</v>
      </c>
      <c r="F9" s="61"/>
      <c r="G9" s="61"/>
      <c r="H9" s="61"/>
      <c r="I9" s="61"/>
      <c r="J9" s="1"/>
      <c r="K9" s="1"/>
    </row>
    <row r="10" spans="2:11" ht="12.75">
      <c r="B10" s="58" t="s">
        <v>90</v>
      </c>
      <c r="C10" s="190">
        <v>2500</v>
      </c>
      <c r="D10" s="60">
        <v>1</v>
      </c>
      <c r="E10" s="191">
        <f t="shared" si="0"/>
        <v>2500</v>
      </c>
      <c r="F10" s="61"/>
      <c r="G10" s="61"/>
      <c r="H10" s="61"/>
      <c r="I10" s="61"/>
      <c r="J10" s="1"/>
      <c r="K10" s="1"/>
    </row>
    <row r="11" spans="2:11" ht="12.75">
      <c r="B11" s="58" t="s">
        <v>91</v>
      </c>
      <c r="C11" s="190">
        <v>5000</v>
      </c>
      <c r="D11" s="60">
        <v>1</v>
      </c>
      <c r="E11" s="191">
        <f t="shared" si="0"/>
        <v>5000</v>
      </c>
      <c r="F11" s="61"/>
      <c r="G11" s="61"/>
      <c r="H11" s="61"/>
      <c r="I11" s="61"/>
      <c r="J11" s="1"/>
      <c r="K11" s="1"/>
    </row>
    <row r="12" spans="2:11" ht="12.75">
      <c r="B12" s="58" t="s">
        <v>92</v>
      </c>
      <c r="C12" s="190">
        <v>300</v>
      </c>
      <c r="D12" s="60">
        <v>1</v>
      </c>
      <c r="E12" s="191">
        <f t="shared" si="0"/>
        <v>300</v>
      </c>
      <c r="F12" s="61"/>
      <c r="G12" s="61"/>
      <c r="H12" s="61"/>
      <c r="I12" s="61"/>
      <c r="J12" s="1"/>
      <c r="K12" s="1"/>
    </row>
    <row r="13" spans="2:11" ht="12.75">
      <c r="B13" s="58" t="s">
        <v>93</v>
      </c>
      <c r="C13" s="190">
        <v>33000</v>
      </c>
      <c r="D13" s="60">
        <v>1</v>
      </c>
      <c r="E13" s="191">
        <f t="shared" si="0"/>
        <v>33000</v>
      </c>
      <c r="F13" s="61"/>
      <c r="G13" s="61"/>
      <c r="H13" s="61"/>
      <c r="I13" s="61"/>
      <c r="J13" s="1"/>
      <c r="K13" s="1"/>
    </row>
    <row r="14" spans="2:11" ht="12.75">
      <c r="B14" s="58" t="s">
        <v>94</v>
      </c>
      <c r="C14" s="190">
        <v>20000</v>
      </c>
      <c r="D14" s="60">
        <v>1</v>
      </c>
      <c r="E14" s="191">
        <f t="shared" si="0"/>
        <v>20000</v>
      </c>
      <c r="F14" s="61"/>
      <c r="G14" s="61"/>
      <c r="H14" s="61"/>
      <c r="I14" s="61"/>
      <c r="J14" s="1"/>
      <c r="K14" s="1"/>
    </row>
    <row r="15" spans="2:11" ht="12.75">
      <c r="B15" s="58"/>
      <c r="C15" s="59"/>
      <c r="D15" s="60"/>
      <c r="E15" s="191"/>
      <c r="F15" s="61"/>
      <c r="G15" s="61"/>
      <c r="H15" s="61"/>
      <c r="I15" s="61"/>
      <c r="J15" s="1"/>
      <c r="K15" s="1"/>
    </row>
    <row r="16" spans="2:11" ht="12.75">
      <c r="B16" s="62" t="s">
        <v>2</v>
      </c>
      <c r="C16" s="63"/>
      <c r="D16" s="64"/>
      <c r="E16" s="192">
        <f>+SUM(E4:E15)</f>
        <v>471800</v>
      </c>
      <c r="F16" s="61"/>
      <c r="G16" s="61"/>
      <c r="H16" s="61"/>
      <c r="I16" s="61"/>
      <c r="J16" s="1"/>
      <c r="K16" s="1"/>
    </row>
    <row r="17" spans="2:11" ht="13.5" thickBot="1">
      <c r="B17" s="65"/>
      <c r="C17" s="66"/>
      <c r="D17" s="67"/>
      <c r="E17" s="68"/>
      <c r="F17" s="61"/>
      <c r="G17" s="61"/>
      <c r="H17" s="61"/>
      <c r="I17" s="61"/>
      <c r="J17" s="1"/>
      <c r="K17" s="1"/>
    </row>
    <row r="18" spans="3:5" s="14" customFormat="1" ht="12.75">
      <c r="C18" s="24"/>
      <c r="D18" s="24"/>
      <c r="E18" s="69"/>
    </row>
    <row r="19" spans="2:9" s="14" customFormat="1" ht="12.75">
      <c r="B19" s="62"/>
      <c r="C19" s="70"/>
      <c r="D19" s="70"/>
      <c r="E19" s="70"/>
      <c r="F19" s="61"/>
      <c r="G19" s="61"/>
      <c r="H19" s="61"/>
      <c r="I19" s="61"/>
    </row>
    <row r="20" spans="6:9" s="14" customFormat="1" ht="12.75">
      <c r="F20" s="61"/>
      <c r="G20" s="61"/>
      <c r="H20" s="61"/>
      <c r="I20" s="61"/>
    </row>
    <row r="21" spans="3:11" ht="12.75">
      <c r="C21" s="71"/>
      <c r="D21" s="71"/>
      <c r="E21" s="71"/>
      <c r="F21" s="61"/>
      <c r="G21" s="61"/>
      <c r="H21" s="61"/>
      <c r="I21" s="61"/>
      <c r="J21" s="1"/>
      <c r="K21" s="1"/>
    </row>
  </sheetData>
  <sheetProtection/>
  <mergeCells count="1">
    <mergeCell ref="B2:E2"/>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B2:T45"/>
  <sheetViews>
    <sheetView workbookViewId="0" topLeftCell="A1">
      <selection activeCell="D3" sqref="D3:D4"/>
    </sheetView>
  </sheetViews>
  <sheetFormatPr defaultColWidth="9.140625" defaultRowHeight="15"/>
  <cols>
    <col min="1" max="1" width="5.7109375" style="1" customWidth="1"/>
    <col min="2" max="2" width="29.140625" style="1" customWidth="1"/>
    <col min="3" max="3" width="12.7109375" style="1" customWidth="1"/>
    <col min="4" max="4" width="30.421875" style="1" customWidth="1"/>
    <col min="5" max="5" width="8.140625" style="1" customWidth="1"/>
    <col min="6" max="6" width="14.28125" style="1" customWidth="1"/>
    <col min="7" max="7" width="14.8515625" style="1" customWidth="1"/>
    <col min="8" max="8" width="13.8515625" style="1" customWidth="1"/>
    <col min="9" max="9" width="13.7109375" style="1" customWidth="1"/>
    <col min="10" max="14" width="12.7109375" style="1" customWidth="1"/>
    <col min="15" max="16" width="11.7109375" style="1" customWidth="1"/>
    <col min="17" max="16384" width="9.140625" style="1" customWidth="1"/>
  </cols>
  <sheetData>
    <row r="2" spans="2:16" ht="13.5" thickBot="1">
      <c r="B2" s="223" t="s">
        <v>251</v>
      </c>
      <c r="C2" s="223"/>
      <c r="D2" s="223"/>
      <c r="E2" s="223"/>
      <c r="F2" s="223"/>
      <c r="G2" s="223"/>
      <c r="H2" s="223"/>
      <c r="I2" s="36"/>
      <c r="J2" s="36"/>
      <c r="K2" s="36"/>
      <c r="L2" s="36"/>
      <c r="M2" s="36"/>
      <c r="N2" s="36"/>
      <c r="O2" s="36"/>
      <c r="P2" s="36"/>
    </row>
    <row r="3" spans="2:16" ht="39">
      <c r="B3" s="220"/>
      <c r="C3" s="220" t="s">
        <v>95</v>
      </c>
      <c r="D3" s="220" t="s">
        <v>96</v>
      </c>
      <c r="E3" s="220" t="s">
        <v>97</v>
      </c>
      <c r="F3" s="56" t="s">
        <v>98</v>
      </c>
      <c r="G3" s="56" t="s">
        <v>99</v>
      </c>
      <c r="H3" s="56" t="s">
        <v>100</v>
      </c>
      <c r="I3" s="56" t="s">
        <v>101</v>
      </c>
      <c r="J3" s="56" t="s">
        <v>102</v>
      </c>
      <c r="K3" s="56" t="s">
        <v>103</v>
      </c>
      <c r="L3" s="56" t="s">
        <v>104</v>
      </c>
      <c r="M3" s="56" t="s">
        <v>105</v>
      </c>
      <c r="N3" s="56" t="s">
        <v>106</v>
      </c>
      <c r="O3" s="56" t="s">
        <v>243</v>
      </c>
      <c r="P3" s="56" t="s">
        <v>108</v>
      </c>
    </row>
    <row r="4" spans="2:16" ht="15" customHeight="1">
      <c r="B4" s="221"/>
      <c r="C4" s="221"/>
      <c r="D4" s="221"/>
      <c r="E4" s="221"/>
      <c r="F4" s="224" t="s">
        <v>109</v>
      </c>
      <c r="G4" s="224"/>
      <c r="H4" s="224"/>
      <c r="I4" s="224"/>
      <c r="J4" s="224"/>
      <c r="K4" s="224"/>
      <c r="L4" s="224"/>
      <c r="M4" s="224"/>
      <c r="N4" s="224"/>
      <c r="O4" s="224"/>
      <c r="P4" s="224"/>
    </row>
    <row r="5" spans="2:16" ht="12.75">
      <c r="B5" s="72" t="s">
        <v>3</v>
      </c>
      <c r="C5" s="193">
        <f>+'Machinery &amp; Building Req.'!E4</f>
        <v>225000</v>
      </c>
      <c r="D5" s="73">
        <v>10</v>
      </c>
      <c r="E5" s="73">
        <v>1000</v>
      </c>
      <c r="F5" s="194">
        <f aca="true" t="shared" si="0" ref="F5:F15">+(C5-$C$18*C5)/(D5*E5)</f>
        <v>20.25</v>
      </c>
      <c r="G5" s="195">
        <f aca="true" t="shared" si="1" ref="G5:G15">+((C5+$C$18*C5)/2)*$C$17/E5</f>
        <v>8.6625</v>
      </c>
      <c r="H5" s="195">
        <f>(0.01*C5)/E5</f>
        <v>2.25</v>
      </c>
      <c r="I5" s="195">
        <f>+SUM(F5:H5)</f>
        <v>31.1625</v>
      </c>
      <c r="J5" s="196">
        <v>3750</v>
      </c>
      <c r="K5" s="197">
        <f>+J5/E5</f>
        <v>3.75</v>
      </c>
      <c r="L5" s="77" t="s">
        <v>110</v>
      </c>
      <c r="M5" s="78">
        <v>9</v>
      </c>
      <c r="N5" s="198">
        <f>('Selected Inputs'!$D$36*M5)*1.15</f>
        <v>23.287499999999998</v>
      </c>
      <c r="O5" s="198">
        <f>N5+K5</f>
        <v>27.037499999999998</v>
      </c>
      <c r="P5" s="198">
        <f>I5+O5</f>
        <v>58.2</v>
      </c>
    </row>
    <row r="6" spans="2:16" ht="12.75">
      <c r="B6" s="72" t="s">
        <v>4</v>
      </c>
      <c r="C6" s="193">
        <f>+'Machinery &amp; Building Req.'!E5</f>
        <v>125000</v>
      </c>
      <c r="D6" s="73">
        <v>10</v>
      </c>
      <c r="E6" s="73">
        <v>1000</v>
      </c>
      <c r="F6" s="194">
        <f t="shared" si="0"/>
        <v>11.25</v>
      </c>
      <c r="G6" s="195">
        <f t="shared" si="1"/>
        <v>4.812500000000001</v>
      </c>
      <c r="H6" s="195">
        <f aca="true" t="shared" si="2" ref="H6:H15">(0.01*C6)/E6</f>
        <v>1.25</v>
      </c>
      <c r="I6" s="195">
        <f aca="true" t="shared" si="3" ref="I6:I15">+SUM(F6:H6)</f>
        <v>17.3125</v>
      </c>
      <c r="J6" s="196">
        <v>3000</v>
      </c>
      <c r="K6" s="197">
        <f aca="true" t="shared" si="4" ref="K6:K15">+J6/E6</f>
        <v>3</v>
      </c>
      <c r="L6" s="77" t="s">
        <v>110</v>
      </c>
      <c r="M6" s="78">
        <v>4</v>
      </c>
      <c r="N6" s="198">
        <f>('Selected Inputs'!$D$36*M6)*1.15</f>
        <v>10.35</v>
      </c>
      <c r="O6" s="198">
        <f aca="true" t="shared" si="5" ref="O6:O15">N6+K6</f>
        <v>13.35</v>
      </c>
      <c r="P6" s="198">
        <f aca="true" t="shared" si="6" ref="P6:P15">I6+O6</f>
        <v>30.6625</v>
      </c>
    </row>
    <row r="7" spans="2:16" ht="12.75">
      <c r="B7" s="72" t="s">
        <v>5</v>
      </c>
      <c r="C7" s="193">
        <f>+'Machinery &amp; Building Req.'!E6</f>
        <v>18000</v>
      </c>
      <c r="D7" s="73">
        <v>20</v>
      </c>
      <c r="E7" s="73">
        <v>200</v>
      </c>
      <c r="F7" s="194">
        <f t="shared" si="0"/>
        <v>4.05</v>
      </c>
      <c r="G7" s="195">
        <f t="shared" si="1"/>
        <v>3.4650000000000007</v>
      </c>
      <c r="H7" s="195">
        <f t="shared" si="2"/>
        <v>0.9</v>
      </c>
      <c r="I7" s="195">
        <f t="shared" si="3"/>
        <v>8.415000000000001</v>
      </c>
      <c r="J7" s="196">
        <v>1500</v>
      </c>
      <c r="K7" s="197">
        <f t="shared" si="4"/>
        <v>7.5</v>
      </c>
      <c r="L7" s="77"/>
      <c r="M7" s="78"/>
      <c r="N7" s="198"/>
      <c r="O7" s="198">
        <f t="shared" si="5"/>
        <v>7.5</v>
      </c>
      <c r="P7" s="198">
        <f t="shared" si="6"/>
        <v>15.915000000000001</v>
      </c>
    </row>
    <row r="8" spans="2:16" ht="12.75">
      <c r="B8" s="72" t="s">
        <v>87</v>
      </c>
      <c r="C8" s="193">
        <f>+'Machinery &amp; Building Req.'!E7</f>
        <v>18000</v>
      </c>
      <c r="D8" s="73">
        <v>20</v>
      </c>
      <c r="E8" s="73">
        <v>200</v>
      </c>
      <c r="F8" s="194">
        <f t="shared" si="0"/>
        <v>4.05</v>
      </c>
      <c r="G8" s="195">
        <f t="shared" si="1"/>
        <v>3.4650000000000007</v>
      </c>
      <c r="H8" s="195">
        <f t="shared" si="2"/>
        <v>0.9</v>
      </c>
      <c r="I8" s="195">
        <f t="shared" si="3"/>
        <v>8.415000000000001</v>
      </c>
      <c r="J8" s="196">
        <v>1800</v>
      </c>
      <c r="K8" s="197">
        <f t="shared" si="4"/>
        <v>9</v>
      </c>
      <c r="L8" s="77"/>
      <c r="M8" s="78"/>
      <c r="N8" s="198"/>
      <c r="O8" s="198">
        <f t="shared" si="5"/>
        <v>9</v>
      </c>
      <c r="P8" s="198">
        <f t="shared" si="6"/>
        <v>17.415</v>
      </c>
    </row>
    <row r="9" spans="2:16" ht="12.75">
      <c r="B9" s="72" t="s">
        <v>88</v>
      </c>
      <c r="C9" s="193">
        <f>+'Machinery &amp; Building Req.'!E8</f>
        <v>15000</v>
      </c>
      <c r="D9" s="73">
        <v>20</v>
      </c>
      <c r="E9" s="73">
        <v>200</v>
      </c>
      <c r="F9" s="194">
        <f t="shared" si="0"/>
        <v>3.375</v>
      </c>
      <c r="G9" s="195">
        <f t="shared" si="1"/>
        <v>2.8875</v>
      </c>
      <c r="H9" s="195">
        <f t="shared" si="2"/>
        <v>0.75</v>
      </c>
      <c r="I9" s="195">
        <f t="shared" si="3"/>
        <v>7.0125</v>
      </c>
      <c r="J9" s="196">
        <v>1800</v>
      </c>
      <c r="K9" s="197">
        <f t="shared" si="4"/>
        <v>9</v>
      </c>
      <c r="L9" s="77"/>
      <c r="M9" s="78"/>
      <c r="N9" s="198"/>
      <c r="O9" s="198">
        <f t="shared" si="5"/>
        <v>9</v>
      </c>
      <c r="P9" s="198">
        <f t="shared" si="6"/>
        <v>16.0125</v>
      </c>
    </row>
    <row r="10" spans="2:16" ht="12.75">
      <c r="B10" s="72" t="s">
        <v>89</v>
      </c>
      <c r="C10" s="193">
        <f>+'Machinery &amp; Building Req.'!E9</f>
        <v>10000</v>
      </c>
      <c r="D10" s="73">
        <v>20</v>
      </c>
      <c r="E10" s="73">
        <v>200</v>
      </c>
      <c r="F10" s="194">
        <f t="shared" si="0"/>
        <v>2.25</v>
      </c>
      <c r="G10" s="195">
        <f t="shared" si="1"/>
        <v>1.9250000000000003</v>
      </c>
      <c r="H10" s="195">
        <f t="shared" si="2"/>
        <v>0.5</v>
      </c>
      <c r="I10" s="195">
        <f t="shared" si="3"/>
        <v>4.675000000000001</v>
      </c>
      <c r="J10" s="196">
        <v>400</v>
      </c>
      <c r="K10" s="197">
        <f t="shared" si="4"/>
        <v>2</v>
      </c>
      <c r="L10" s="77"/>
      <c r="M10" s="78"/>
      <c r="N10" s="198"/>
      <c r="O10" s="198">
        <f t="shared" si="5"/>
        <v>2</v>
      </c>
      <c r="P10" s="198">
        <f t="shared" si="6"/>
        <v>6.675000000000001</v>
      </c>
    </row>
    <row r="11" spans="2:16" ht="12.75">
      <c r="B11" s="58" t="s">
        <v>90</v>
      </c>
      <c r="C11" s="193">
        <f>+'Machinery &amp; Building Req.'!E10</f>
        <v>2500</v>
      </c>
      <c r="D11" s="73">
        <v>15</v>
      </c>
      <c r="E11" s="73">
        <v>50</v>
      </c>
      <c r="F11" s="194">
        <f t="shared" si="0"/>
        <v>3</v>
      </c>
      <c r="G11" s="195">
        <f t="shared" si="1"/>
        <v>1.9250000000000003</v>
      </c>
      <c r="H11" s="195">
        <f t="shared" si="2"/>
        <v>0.5</v>
      </c>
      <c r="I11" s="195">
        <f t="shared" si="3"/>
        <v>5.425000000000001</v>
      </c>
      <c r="J11" s="196"/>
      <c r="K11" s="197">
        <f t="shared" si="4"/>
        <v>0</v>
      </c>
      <c r="L11" s="77"/>
      <c r="M11" s="78"/>
      <c r="N11" s="198"/>
      <c r="O11" s="198">
        <f t="shared" si="5"/>
        <v>0</v>
      </c>
      <c r="P11" s="198">
        <f t="shared" si="6"/>
        <v>5.425000000000001</v>
      </c>
    </row>
    <row r="12" spans="2:16" ht="12.75">
      <c r="B12" s="58" t="s">
        <v>91</v>
      </c>
      <c r="C12" s="193">
        <f>+'Machinery &amp; Building Req.'!E11</f>
        <v>5000</v>
      </c>
      <c r="D12" s="73">
        <v>7</v>
      </c>
      <c r="E12" s="73">
        <v>250</v>
      </c>
      <c r="F12" s="194">
        <f t="shared" si="0"/>
        <v>2.5714285714285716</v>
      </c>
      <c r="G12" s="195">
        <f t="shared" si="1"/>
        <v>0.7700000000000001</v>
      </c>
      <c r="H12" s="195">
        <f t="shared" si="2"/>
        <v>0.2</v>
      </c>
      <c r="I12" s="195">
        <f t="shared" si="3"/>
        <v>3.541428571428572</v>
      </c>
      <c r="J12" s="196"/>
      <c r="K12" s="197">
        <f t="shared" si="4"/>
        <v>0</v>
      </c>
      <c r="L12" s="77" t="s">
        <v>111</v>
      </c>
      <c r="M12" s="78">
        <v>0.5</v>
      </c>
      <c r="N12" s="198">
        <f>('Selected Inputs'!$D$37*M12)*1.15</f>
        <v>1.6099999999999999</v>
      </c>
      <c r="O12" s="198">
        <f t="shared" si="5"/>
        <v>1.6099999999999999</v>
      </c>
      <c r="P12" s="198">
        <f t="shared" si="6"/>
        <v>5.151428571428571</v>
      </c>
    </row>
    <row r="13" spans="2:16" ht="12.75">
      <c r="B13" s="58" t="s">
        <v>92</v>
      </c>
      <c r="C13" s="193">
        <f>+'Machinery &amp; Building Req.'!E12</f>
        <v>300</v>
      </c>
      <c r="D13" s="73">
        <v>10</v>
      </c>
      <c r="E13" s="73">
        <v>50</v>
      </c>
      <c r="F13" s="194">
        <f t="shared" si="0"/>
        <v>0.54</v>
      </c>
      <c r="G13" s="195">
        <f t="shared" si="1"/>
        <v>0.231</v>
      </c>
      <c r="H13" s="195">
        <f t="shared" si="2"/>
        <v>0.06</v>
      </c>
      <c r="I13" s="195">
        <f t="shared" si="3"/>
        <v>0.831</v>
      </c>
      <c r="J13" s="196">
        <v>10</v>
      </c>
      <c r="K13" s="197">
        <f t="shared" si="4"/>
        <v>0.2</v>
      </c>
      <c r="L13" s="77"/>
      <c r="M13" s="78"/>
      <c r="N13" s="198"/>
      <c r="O13" s="198">
        <f t="shared" si="5"/>
        <v>0.2</v>
      </c>
      <c r="P13" s="198">
        <f t="shared" si="6"/>
        <v>1.031</v>
      </c>
    </row>
    <row r="14" spans="2:16" ht="12.75">
      <c r="B14" s="58" t="s">
        <v>93</v>
      </c>
      <c r="C14" s="193">
        <f>+'Machinery &amp; Building Req.'!E13</f>
        <v>33000</v>
      </c>
      <c r="D14" s="73">
        <v>6</v>
      </c>
      <c r="E14" s="73">
        <v>1300</v>
      </c>
      <c r="F14" s="194">
        <f t="shared" si="0"/>
        <v>3.8076923076923075</v>
      </c>
      <c r="G14" s="195">
        <f t="shared" si="1"/>
        <v>0.9773076923076924</v>
      </c>
      <c r="H14" s="195">
        <f t="shared" si="2"/>
        <v>0.25384615384615383</v>
      </c>
      <c r="I14" s="195">
        <f t="shared" si="3"/>
        <v>5.038846153846154</v>
      </c>
      <c r="J14" s="196">
        <v>1500</v>
      </c>
      <c r="K14" s="197">
        <f t="shared" si="4"/>
        <v>1.1538461538461537</v>
      </c>
      <c r="L14" s="77" t="s">
        <v>111</v>
      </c>
      <c r="M14" s="78">
        <v>3</v>
      </c>
      <c r="N14" s="198">
        <f>('Selected Inputs'!$D$37*M14)*1.15</f>
        <v>9.659999999999998</v>
      </c>
      <c r="O14" s="198">
        <f t="shared" si="5"/>
        <v>10.813846153846152</v>
      </c>
      <c r="P14" s="198">
        <f t="shared" si="6"/>
        <v>15.852692307692305</v>
      </c>
    </row>
    <row r="15" spans="2:16" ht="12.75">
      <c r="B15" s="58" t="s">
        <v>112</v>
      </c>
      <c r="C15" s="193">
        <f>+'Machinery &amp; Building Req.'!E14</f>
        <v>20000</v>
      </c>
      <c r="D15" s="73">
        <v>8</v>
      </c>
      <c r="E15" s="73">
        <v>900</v>
      </c>
      <c r="F15" s="194">
        <f t="shared" si="0"/>
        <v>2.5</v>
      </c>
      <c r="G15" s="195">
        <f t="shared" si="1"/>
        <v>0.8555555555555557</v>
      </c>
      <c r="H15" s="195">
        <f t="shared" si="2"/>
        <v>0.2222222222222222</v>
      </c>
      <c r="I15" s="195">
        <f t="shared" si="3"/>
        <v>3.577777777777778</v>
      </c>
      <c r="J15" s="196">
        <v>1500</v>
      </c>
      <c r="K15" s="197">
        <f t="shared" si="4"/>
        <v>1.6666666666666667</v>
      </c>
      <c r="L15" s="77" t="s">
        <v>111</v>
      </c>
      <c r="M15" s="78">
        <v>3</v>
      </c>
      <c r="N15" s="198">
        <f>('Selected Inputs'!$D$37*M15)*1.15</f>
        <v>9.659999999999998</v>
      </c>
      <c r="O15" s="198">
        <f t="shared" si="5"/>
        <v>11.326666666666664</v>
      </c>
      <c r="P15" s="198">
        <f t="shared" si="6"/>
        <v>14.904444444444442</v>
      </c>
    </row>
    <row r="16" spans="2:16" s="14" customFormat="1" ht="12.75">
      <c r="B16" s="79"/>
      <c r="C16" s="73"/>
      <c r="D16" s="73"/>
      <c r="E16" s="80"/>
      <c r="F16" s="74"/>
      <c r="G16" s="75"/>
      <c r="H16" s="75"/>
      <c r="I16" s="81"/>
      <c r="J16" s="85"/>
      <c r="K16" s="76"/>
      <c r="L16" s="61"/>
      <c r="M16" s="82"/>
      <c r="N16" s="83"/>
      <c r="O16" s="25"/>
      <c r="P16" s="25"/>
    </row>
    <row r="17" spans="2:16" s="14" customFormat="1" ht="12.75">
      <c r="B17" s="79" t="s">
        <v>113</v>
      </c>
      <c r="C17" s="84">
        <v>0.07</v>
      </c>
      <c r="D17" s="80"/>
      <c r="E17" s="80"/>
      <c r="F17" s="74"/>
      <c r="G17" s="81"/>
      <c r="H17" s="81"/>
      <c r="I17" s="81"/>
      <c r="J17" s="85"/>
      <c r="K17" s="85"/>
      <c r="L17" s="61"/>
      <c r="M17" s="82"/>
      <c r="N17" s="83"/>
      <c r="O17" s="83"/>
      <c r="P17" s="32"/>
    </row>
    <row r="18" spans="2:16" s="14" customFormat="1" ht="12.75">
      <c r="B18" s="79" t="s">
        <v>114</v>
      </c>
      <c r="C18" s="86">
        <v>0.1</v>
      </c>
      <c r="D18" s="80"/>
      <c r="E18" s="80"/>
      <c r="F18" s="74"/>
      <c r="G18" s="81"/>
      <c r="H18" s="81"/>
      <c r="I18" s="81"/>
      <c r="J18" s="85"/>
      <c r="K18" s="85"/>
      <c r="L18" s="61"/>
      <c r="M18" s="82"/>
      <c r="N18" s="83"/>
      <c r="O18" s="83"/>
      <c r="P18" s="32"/>
    </row>
    <row r="19" spans="2:16" ht="13.5" thickBot="1">
      <c r="B19" s="87" t="s">
        <v>115</v>
      </c>
      <c r="C19" s="88">
        <v>380</v>
      </c>
      <c r="D19" s="89"/>
      <c r="E19" s="89"/>
      <c r="F19" s="90"/>
      <c r="G19" s="91"/>
      <c r="H19" s="91"/>
      <c r="I19" s="91"/>
      <c r="J19" s="92"/>
      <c r="K19" s="92"/>
      <c r="L19" s="93"/>
      <c r="M19" s="94"/>
      <c r="N19" s="95"/>
      <c r="O19" s="95"/>
      <c r="P19" s="37"/>
    </row>
    <row r="20" spans="2:11" ht="12.75">
      <c r="B20" s="79" t="s">
        <v>116</v>
      </c>
      <c r="F20" s="14"/>
      <c r="G20" s="14"/>
      <c r="J20" s="75"/>
      <c r="K20" s="75"/>
    </row>
    <row r="21" spans="2:11" ht="12.75">
      <c r="B21" s="79" t="s">
        <v>117</v>
      </c>
      <c r="F21" s="14"/>
      <c r="G21" s="14"/>
      <c r="J21" s="75"/>
      <c r="K21" s="75"/>
    </row>
    <row r="22" spans="6:20" ht="12.75">
      <c r="F22" s="14"/>
      <c r="G22" s="14"/>
      <c r="J22" s="75"/>
      <c r="K22" s="75"/>
      <c r="R22" s="14"/>
      <c r="S22" s="14"/>
      <c r="T22" s="14"/>
    </row>
    <row r="23" spans="2:19" ht="13.5" thickBot="1">
      <c r="B23" s="35" t="s">
        <v>86</v>
      </c>
      <c r="C23" s="36"/>
      <c r="D23" s="36"/>
      <c r="E23" s="36"/>
      <c r="F23" s="36"/>
      <c r="G23" s="36"/>
      <c r="H23" s="36"/>
      <c r="I23" s="36"/>
      <c r="J23" s="91"/>
      <c r="K23" s="91"/>
      <c r="L23" s="36"/>
      <c r="M23" s="36"/>
      <c r="N23" s="36"/>
      <c r="O23" s="36"/>
      <c r="P23" s="14"/>
      <c r="Q23" s="14"/>
      <c r="R23" s="14"/>
      <c r="S23" s="14"/>
    </row>
    <row r="24" spans="2:19" ht="39">
      <c r="B24" s="220" t="s">
        <v>118</v>
      </c>
      <c r="C24" s="220" t="s">
        <v>244</v>
      </c>
      <c r="D24" s="220" t="s">
        <v>119</v>
      </c>
      <c r="E24" s="220" t="s">
        <v>245</v>
      </c>
      <c r="F24" s="56" t="s">
        <v>98</v>
      </c>
      <c r="G24" s="56" t="s">
        <v>99</v>
      </c>
      <c r="H24" s="56" t="s">
        <v>100</v>
      </c>
      <c r="I24" s="56" t="s">
        <v>101</v>
      </c>
      <c r="J24" s="56" t="s">
        <v>120</v>
      </c>
      <c r="K24" s="56" t="s">
        <v>121</v>
      </c>
      <c r="L24" s="56" t="s">
        <v>122</v>
      </c>
      <c r="M24" s="56" t="s">
        <v>123</v>
      </c>
      <c r="N24" s="56" t="s">
        <v>107</v>
      </c>
      <c r="O24" s="56" t="s">
        <v>2</v>
      </c>
      <c r="P24" s="57"/>
      <c r="Q24" s="57"/>
      <c r="R24" s="57"/>
      <c r="S24" s="14"/>
    </row>
    <row r="25" spans="2:19" ht="16.5" customHeight="1">
      <c r="B25" s="221"/>
      <c r="C25" s="221"/>
      <c r="D25" s="221"/>
      <c r="E25" s="221"/>
      <c r="F25" s="222" t="s">
        <v>62</v>
      </c>
      <c r="G25" s="222"/>
      <c r="H25" s="222"/>
      <c r="I25" s="222"/>
      <c r="J25" s="222"/>
      <c r="K25" s="222"/>
      <c r="L25" s="222"/>
      <c r="M25" s="222"/>
      <c r="N25" s="222"/>
      <c r="O25" s="222"/>
      <c r="P25" s="57"/>
      <c r="Q25" s="57"/>
      <c r="R25" s="57"/>
      <c r="S25" s="14"/>
    </row>
    <row r="26" spans="2:19" ht="12.75">
      <c r="B26" s="96" t="s">
        <v>34</v>
      </c>
      <c r="C26" s="57"/>
      <c r="D26" s="57"/>
      <c r="E26" s="57"/>
      <c r="F26" s="57"/>
      <c r="G26" s="57"/>
      <c r="H26" s="57"/>
      <c r="I26" s="57"/>
      <c r="J26" s="57"/>
      <c r="K26" s="57"/>
      <c r="L26" s="57"/>
      <c r="M26" s="57"/>
      <c r="N26" s="57"/>
      <c r="O26" s="57"/>
      <c r="P26" s="32"/>
      <c r="Q26" s="14"/>
      <c r="R26" s="32"/>
      <c r="S26" s="14"/>
    </row>
    <row r="27" spans="2:19" ht="12.75">
      <c r="B27" s="79" t="s">
        <v>225</v>
      </c>
      <c r="C27" s="97">
        <v>0.33</v>
      </c>
      <c r="D27" s="1" t="s">
        <v>3</v>
      </c>
      <c r="E27" s="97">
        <v>0.4</v>
      </c>
      <c r="F27" s="198">
        <f>+$C$27*F5</f>
        <v>6.6825</v>
      </c>
      <c r="G27" s="198">
        <f>+$C$27*G5</f>
        <v>2.858625</v>
      </c>
      <c r="H27" s="198">
        <f>+$C$27*H5</f>
        <v>0.7425</v>
      </c>
      <c r="I27" s="198">
        <f>SUM(F27:H27)</f>
        <v>10.283625</v>
      </c>
      <c r="J27" s="198">
        <f>+E27*'Selected Inputs'!$D$40</f>
        <v>6</v>
      </c>
      <c r="K27" s="198">
        <f>+$C$27*K5</f>
        <v>1.2375</v>
      </c>
      <c r="L27" s="198">
        <f>+$C27*M5</f>
        <v>2.97</v>
      </c>
      <c r="M27" s="198">
        <f>+$C$27*N5</f>
        <v>7.684875</v>
      </c>
      <c r="N27" s="198">
        <f>+SUM(J27:M27)</f>
        <v>17.892375</v>
      </c>
      <c r="O27" s="198">
        <f>+SUM(N27:N28)+SUM(I27:I28)</f>
        <v>33.92295</v>
      </c>
      <c r="P27" s="32"/>
      <c r="Q27" s="14"/>
      <c r="R27" s="14"/>
      <c r="S27" s="14"/>
    </row>
    <row r="28" spans="4:19" ht="12.75">
      <c r="D28" s="1" t="s">
        <v>124</v>
      </c>
      <c r="F28" s="198">
        <f>$C$27*F8</f>
        <v>1.3365</v>
      </c>
      <c r="G28" s="198">
        <f>$C$27*G8</f>
        <v>1.1434500000000003</v>
      </c>
      <c r="H28" s="198">
        <f>$C$27*H8</f>
        <v>0.29700000000000004</v>
      </c>
      <c r="I28" s="198">
        <f aca="true" t="shared" si="7" ref="I28:I35">SUM(F28:H28)</f>
        <v>2.7769500000000007</v>
      </c>
      <c r="J28" s="198"/>
      <c r="K28" s="198">
        <f>$C$27*K8</f>
        <v>2.97</v>
      </c>
      <c r="L28" s="198"/>
      <c r="M28" s="198"/>
      <c r="N28" s="198">
        <f aca="true" t="shared" si="8" ref="N28:N35">+SUM(J28:M28)</f>
        <v>2.97</v>
      </c>
      <c r="O28" s="198"/>
      <c r="P28" s="32"/>
      <c r="Q28" s="14"/>
      <c r="R28" s="14"/>
      <c r="S28" s="14"/>
    </row>
    <row r="29" spans="2:16" ht="12.75">
      <c r="B29" s="1" t="s">
        <v>224</v>
      </c>
      <c r="C29" s="97">
        <v>0.33</v>
      </c>
      <c r="D29" s="1" t="s">
        <v>3</v>
      </c>
      <c r="E29" s="97">
        <v>0.4</v>
      </c>
      <c r="F29" s="187">
        <f>+$C$29*F5</f>
        <v>6.6825</v>
      </c>
      <c r="G29" s="187">
        <f>+$C$29*G5</f>
        <v>2.858625</v>
      </c>
      <c r="H29" s="187">
        <f>+$C$29*H5</f>
        <v>0.7425</v>
      </c>
      <c r="I29" s="198">
        <f t="shared" si="7"/>
        <v>10.283625</v>
      </c>
      <c r="J29" s="198">
        <f>+E29*'Selected Inputs'!$D$40</f>
        <v>6</v>
      </c>
      <c r="K29" s="187">
        <f>+$C$29*K5</f>
        <v>1.2375</v>
      </c>
      <c r="L29" s="187">
        <f>+$C$29*M5</f>
        <v>2.97</v>
      </c>
      <c r="M29" s="187">
        <f>+$C$29*N5</f>
        <v>7.684875</v>
      </c>
      <c r="N29" s="198">
        <f t="shared" si="8"/>
        <v>17.892375</v>
      </c>
      <c r="O29" s="198">
        <f>+SUM(N29:N30)+SUM(I29:I30)</f>
        <v>33.460125000000005</v>
      </c>
      <c r="P29" s="32"/>
    </row>
    <row r="30" spans="3:16" ht="12.75">
      <c r="C30" s="97"/>
      <c r="D30" s="1" t="s">
        <v>88</v>
      </c>
      <c r="E30" s="97"/>
      <c r="F30" s="187">
        <f>+$C$29*F9</f>
        <v>1.11375</v>
      </c>
      <c r="G30" s="187">
        <f>+$C$29*G9</f>
        <v>0.9528750000000001</v>
      </c>
      <c r="H30" s="187">
        <f>+$C$29*H9</f>
        <v>0.2475</v>
      </c>
      <c r="I30" s="198">
        <f t="shared" si="7"/>
        <v>2.314125</v>
      </c>
      <c r="J30" s="198"/>
      <c r="K30" s="187">
        <f>+$C$29*K9</f>
        <v>2.97</v>
      </c>
      <c r="L30" s="187"/>
      <c r="M30" s="187"/>
      <c r="N30" s="198">
        <f t="shared" si="8"/>
        <v>2.97</v>
      </c>
      <c r="O30" s="198"/>
      <c r="P30" s="32"/>
    </row>
    <row r="31" spans="2:16" ht="12.75">
      <c r="B31" s="1" t="s">
        <v>125</v>
      </c>
      <c r="C31" s="97">
        <v>0.17</v>
      </c>
      <c r="D31" s="1" t="s">
        <v>3</v>
      </c>
      <c r="E31" s="97">
        <v>0.2</v>
      </c>
      <c r="F31" s="187">
        <f>$C$31*F5</f>
        <v>3.4425000000000003</v>
      </c>
      <c r="G31" s="187">
        <f>$C$31*G5</f>
        <v>1.472625</v>
      </c>
      <c r="H31" s="187">
        <f>$C$31*H5</f>
        <v>0.3825</v>
      </c>
      <c r="I31" s="198">
        <f t="shared" si="7"/>
        <v>5.297625000000001</v>
      </c>
      <c r="J31" s="198">
        <f>+E31*'Selected Inputs'!$D$40</f>
        <v>3</v>
      </c>
      <c r="K31" s="187">
        <f>$C$31*K12</f>
        <v>0</v>
      </c>
      <c r="L31" s="187">
        <f>$C$31*M5</f>
        <v>1.53</v>
      </c>
      <c r="M31" s="187">
        <f>$C$31*N5</f>
        <v>3.958875</v>
      </c>
      <c r="N31" s="198">
        <f t="shared" si="8"/>
        <v>8.488875</v>
      </c>
      <c r="O31" s="198">
        <f>+SUM(N31:N32)+SUM(I31:I32)</f>
        <v>13.7865</v>
      </c>
      <c r="P31" s="32"/>
    </row>
    <row r="32" spans="2:16" s="14" customFormat="1" ht="12.75">
      <c r="B32" s="1"/>
      <c r="C32" s="97"/>
      <c r="D32" s="1" t="s">
        <v>226</v>
      </c>
      <c r="E32" s="97"/>
      <c r="F32" s="187"/>
      <c r="G32" s="187"/>
      <c r="H32" s="187"/>
      <c r="I32" s="198"/>
      <c r="J32" s="198"/>
      <c r="K32" s="187"/>
      <c r="L32" s="187"/>
      <c r="M32" s="198"/>
      <c r="N32" s="198"/>
      <c r="O32" s="198"/>
      <c r="P32" s="32"/>
    </row>
    <row r="33" spans="2:16" s="14" customFormat="1" ht="12.75">
      <c r="B33" s="1" t="s">
        <v>126</v>
      </c>
      <c r="C33" s="97">
        <v>1.6</v>
      </c>
      <c r="D33" s="1" t="s">
        <v>127</v>
      </c>
      <c r="E33" s="97">
        <v>0</v>
      </c>
      <c r="F33" s="198">
        <f aca="true" t="shared" si="9" ref="F33:H34">+$C33*F14</f>
        <v>6.092307692307692</v>
      </c>
      <c r="G33" s="198">
        <f t="shared" si="9"/>
        <v>1.563692307692308</v>
      </c>
      <c r="H33" s="198">
        <f t="shared" si="9"/>
        <v>0.40615384615384614</v>
      </c>
      <c r="I33" s="198">
        <f t="shared" si="7"/>
        <v>8.062153846153846</v>
      </c>
      <c r="J33" s="198"/>
      <c r="K33" s="198">
        <f>+$C33*K14</f>
        <v>1.846153846153846</v>
      </c>
      <c r="L33" s="198">
        <f>+$C33*M14</f>
        <v>4.800000000000001</v>
      </c>
      <c r="M33" s="198">
        <f>+$C33*N14</f>
        <v>15.455999999999998</v>
      </c>
      <c r="N33" s="198">
        <f t="shared" si="8"/>
        <v>22.102153846153843</v>
      </c>
      <c r="O33" s="198">
        <f>I33+N33</f>
        <v>30.164307692307688</v>
      </c>
      <c r="P33" s="32"/>
    </row>
    <row r="34" spans="3:16" s="14" customFormat="1" ht="12.75">
      <c r="C34" s="97">
        <v>1.8</v>
      </c>
      <c r="D34" s="14" t="s">
        <v>94</v>
      </c>
      <c r="E34" s="97">
        <v>1.98</v>
      </c>
      <c r="F34" s="187">
        <f t="shared" si="9"/>
        <v>4.5</v>
      </c>
      <c r="G34" s="187">
        <f t="shared" si="9"/>
        <v>1.5400000000000003</v>
      </c>
      <c r="H34" s="187">
        <f t="shared" si="9"/>
        <v>0.39999999999999997</v>
      </c>
      <c r="I34" s="198">
        <f t="shared" si="7"/>
        <v>6.44</v>
      </c>
      <c r="J34" s="198">
        <f>+E34*'Selected Inputs'!$D$40</f>
        <v>29.7</v>
      </c>
      <c r="K34" s="187">
        <f>+$C34*K15</f>
        <v>3</v>
      </c>
      <c r="L34" s="187">
        <f>+$C34*M15</f>
        <v>5.4</v>
      </c>
      <c r="M34" s="187">
        <f>+$C34*N15</f>
        <v>17.387999999999998</v>
      </c>
      <c r="N34" s="198">
        <f t="shared" si="8"/>
        <v>55.488</v>
      </c>
      <c r="O34" s="198">
        <f>I34+N34</f>
        <v>61.928</v>
      </c>
      <c r="P34" s="32"/>
    </row>
    <row r="35" spans="2:16" s="34" customFormat="1" ht="12.75">
      <c r="B35" s="14"/>
      <c r="C35" s="97">
        <v>0.25</v>
      </c>
      <c r="D35" s="14" t="s">
        <v>91</v>
      </c>
      <c r="E35" s="97">
        <v>0.28</v>
      </c>
      <c r="F35" s="187">
        <f>+$C35*F12</f>
        <v>0.6428571428571429</v>
      </c>
      <c r="G35" s="187">
        <f>+$C35*G12</f>
        <v>0.19250000000000003</v>
      </c>
      <c r="H35" s="187">
        <f>+$C35*H12</f>
        <v>0.05</v>
      </c>
      <c r="I35" s="198">
        <f t="shared" si="7"/>
        <v>0.885357142857143</v>
      </c>
      <c r="J35" s="198">
        <f>+E35*'Selected Inputs'!$D$40</f>
        <v>4.2</v>
      </c>
      <c r="K35" s="187">
        <f>+$C35*K12</f>
        <v>0</v>
      </c>
      <c r="L35" s="187">
        <f>+$C35*M12</f>
        <v>0.125</v>
      </c>
      <c r="M35" s="187">
        <f>+$C35*N12</f>
        <v>0.40249999999999997</v>
      </c>
      <c r="N35" s="198">
        <f t="shared" si="8"/>
        <v>4.7275</v>
      </c>
      <c r="O35" s="198">
        <f>I35+N35</f>
        <v>5.612857142857143</v>
      </c>
      <c r="P35" s="135"/>
    </row>
    <row r="36" spans="2:16" s="14" customFormat="1" ht="13.5" thickBot="1">
      <c r="B36" s="134" t="s">
        <v>128</v>
      </c>
      <c r="C36" s="35"/>
      <c r="D36" s="35"/>
      <c r="E36" s="35"/>
      <c r="F36" s="199">
        <f aca="true" t="shared" si="10" ref="F36:M36">+SUM(F27:F35)</f>
        <v>30.492914835164832</v>
      </c>
      <c r="G36" s="199">
        <f t="shared" si="10"/>
        <v>12.582392307692311</v>
      </c>
      <c r="H36" s="199">
        <f t="shared" si="10"/>
        <v>3.268153846153846</v>
      </c>
      <c r="I36" s="199">
        <f t="shared" si="10"/>
        <v>46.34346098901099</v>
      </c>
      <c r="J36" s="199">
        <f t="shared" si="10"/>
        <v>48.900000000000006</v>
      </c>
      <c r="K36" s="199">
        <f t="shared" si="10"/>
        <v>13.261153846153848</v>
      </c>
      <c r="L36" s="199">
        <f t="shared" si="10"/>
        <v>17.795</v>
      </c>
      <c r="M36" s="199">
        <f t="shared" si="10"/>
        <v>52.575125</v>
      </c>
      <c r="N36" s="199">
        <f>+SUM(J36:M36)</f>
        <v>132.53127884615384</v>
      </c>
      <c r="O36" s="199">
        <f>I36+N36</f>
        <v>178.87473983516483</v>
      </c>
      <c r="P36" s="32"/>
    </row>
    <row r="37" spans="2:16" s="14" customFormat="1" ht="12.75">
      <c r="B37" s="98" t="s">
        <v>129</v>
      </c>
      <c r="F37" s="32"/>
      <c r="G37" s="32"/>
      <c r="H37" s="32"/>
      <c r="I37" s="32"/>
      <c r="J37" s="32"/>
      <c r="K37" s="32"/>
      <c r="L37" s="32"/>
      <c r="M37" s="32"/>
      <c r="N37" s="32"/>
      <c r="O37" s="32"/>
      <c r="P37" s="32"/>
    </row>
    <row r="38" spans="2:16" s="14" customFormat="1" ht="12.75">
      <c r="B38" s="14" t="s">
        <v>130</v>
      </c>
      <c r="C38" s="97">
        <v>0.25</v>
      </c>
      <c r="D38" s="1" t="s">
        <v>91</v>
      </c>
      <c r="E38" s="97">
        <v>0.3</v>
      </c>
      <c r="F38" s="187">
        <f aca="true" t="shared" si="11" ref="F38:H39">$C$38*F12</f>
        <v>0.6428571428571429</v>
      </c>
      <c r="G38" s="187">
        <f t="shared" si="11"/>
        <v>0.19250000000000003</v>
      </c>
      <c r="H38" s="187">
        <f t="shared" si="11"/>
        <v>0.05</v>
      </c>
      <c r="I38" s="198">
        <f>SUM(F38:H38)</f>
        <v>0.885357142857143</v>
      </c>
      <c r="J38" s="198">
        <f>+E38*'Selected Inputs'!$D$40</f>
        <v>4.5</v>
      </c>
      <c r="K38" s="187">
        <f>$C$38*K12</f>
        <v>0</v>
      </c>
      <c r="L38" s="187">
        <f>$C$38*M12</f>
        <v>0.125</v>
      </c>
      <c r="M38" s="187">
        <f>$C$38*N12</f>
        <v>0.40249999999999997</v>
      </c>
      <c r="N38" s="198">
        <f>+SUM(J38:M38)</f>
        <v>5.0275</v>
      </c>
      <c r="O38" s="198">
        <f>+SUM(N38:N39)+SUM(I38:I39)</f>
        <v>6.1706071428571425</v>
      </c>
      <c r="P38" s="32"/>
    </row>
    <row r="39" spans="2:16" s="14" customFormat="1" ht="12.75">
      <c r="B39" s="98"/>
      <c r="C39" s="97"/>
      <c r="D39" s="1" t="s">
        <v>92</v>
      </c>
      <c r="E39" s="97"/>
      <c r="F39" s="187">
        <f t="shared" si="11"/>
        <v>0.135</v>
      </c>
      <c r="G39" s="187">
        <f t="shared" si="11"/>
        <v>0.05775</v>
      </c>
      <c r="H39" s="187">
        <f t="shared" si="11"/>
        <v>0.015</v>
      </c>
      <c r="I39" s="198">
        <f>SUM(F39:H39)</f>
        <v>0.20775</v>
      </c>
      <c r="J39" s="198"/>
      <c r="K39" s="187">
        <f>$C$38*K13</f>
        <v>0.05</v>
      </c>
      <c r="L39" s="187"/>
      <c r="M39" s="198"/>
      <c r="N39" s="198">
        <f>+SUM(J39:M39)</f>
        <v>0.05</v>
      </c>
      <c r="O39" s="198"/>
      <c r="P39" s="32"/>
    </row>
    <row r="40" spans="2:16" s="14" customFormat="1" ht="12.75">
      <c r="B40" s="1" t="s">
        <v>126</v>
      </c>
      <c r="C40" s="97">
        <v>1.6</v>
      </c>
      <c r="D40" s="1" t="s">
        <v>127</v>
      </c>
      <c r="E40" s="97">
        <v>0</v>
      </c>
      <c r="F40" s="198">
        <f aca="true" t="shared" si="12" ref="F40:H41">+$C40*F14</f>
        <v>6.092307692307692</v>
      </c>
      <c r="G40" s="198">
        <f t="shared" si="12"/>
        <v>1.563692307692308</v>
      </c>
      <c r="H40" s="198">
        <f t="shared" si="12"/>
        <v>0.40615384615384614</v>
      </c>
      <c r="I40" s="198">
        <f>SUM(F40:H40)</f>
        <v>8.062153846153846</v>
      </c>
      <c r="J40" s="198"/>
      <c r="K40" s="198">
        <f>+$C40*K14</f>
        <v>1.846153846153846</v>
      </c>
      <c r="L40" s="198">
        <f>+$C40*M14</f>
        <v>4.800000000000001</v>
      </c>
      <c r="M40" s="198">
        <f>+$C40*N14</f>
        <v>15.455999999999998</v>
      </c>
      <c r="N40" s="198">
        <f>+SUM(J40:M40)</f>
        <v>22.102153846153843</v>
      </c>
      <c r="O40" s="198">
        <f>I40+N40</f>
        <v>30.164307692307688</v>
      </c>
      <c r="P40" s="32"/>
    </row>
    <row r="41" spans="3:16" s="14" customFormat="1" ht="12.75">
      <c r="C41" s="97">
        <v>1.8</v>
      </c>
      <c r="D41" s="14" t="s">
        <v>94</v>
      </c>
      <c r="E41" s="97">
        <v>1.98</v>
      </c>
      <c r="F41" s="187">
        <f t="shared" si="12"/>
        <v>4.5</v>
      </c>
      <c r="G41" s="187">
        <f t="shared" si="12"/>
        <v>1.5400000000000003</v>
      </c>
      <c r="H41" s="187">
        <f t="shared" si="12"/>
        <v>0.39999999999999997</v>
      </c>
      <c r="I41" s="198">
        <f>SUM(F41:H41)</f>
        <v>6.44</v>
      </c>
      <c r="J41" s="198">
        <f>+E41*'Selected Inputs'!$D$40</f>
        <v>29.7</v>
      </c>
      <c r="K41" s="187">
        <f>+$C41*K15</f>
        <v>3</v>
      </c>
      <c r="L41" s="187">
        <f>+$C41*M15</f>
        <v>5.4</v>
      </c>
      <c r="M41" s="187">
        <f>+$C41*N15</f>
        <v>17.387999999999998</v>
      </c>
      <c r="N41" s="198">
        <f>+SUM(J41:M41)</f>
        <v>55.488</v>
      </c>
      <c r="O41" s="198">
        <f>I41+N41</f>
        <v>61.928</v>
      </c>
      <c r="P41" s="32"/>
    </row>
    <row r="42" spans="2:16" s="34" customFormat="1" ht="12.75">
      <c r="B42" s="14"/>
      <c r="C42" s="97">
        <v>0.25</v>
      </c>
      <c r="D42" s="14" t="s">
        <v>91</v>
      </c>
      <c r="E42" s="97">
        <v>0.28</v>
      </c>
      <c r="F42" s="187">
        <f>+$C42*F12</f>
        <v>0.6428571428571429</v>
      </c>
      <c r="G42" s="187">
        <f>+$C42*G12</f>
        <v>0.19250000000000003</v>
      </c>
      <c r="H42" s="187">
        <f>+$C42*H12</f>
        <v>0.05</v>
      </c>
      <c r="I42" s="198">
        <f>SUM(F42:H42)</f>
        <v>0.885357142857143</v>
      </c>
      <c r="J42" s="198">
        <f>+E42*'Selected Inputs'!$D$40</f>
        <v>4.2</v>
      </c>
      <c r="K42" s="187">
        <f>+$C42*K12</f>
        <v>0</v>
      </c>
      <c r="L42" s="187">
        <f>+$C42*M12</f>
        <v>0.125</v>
      </c>
      <c r="M42" s="187">
        <f>+$C42*N12</f>
        <v>0.40249999999999997</v>
      </c>
      <c r="N42" s="198">
        <f>+SUM(J42:M42)</f>
        <v>4.7275</v>
      </c>
      <c r="O42" s="198">
        <f>I42+N42</f>
        <v>5.612857142857143</v>
      </c>
      <c r="P42" s="135"/>
    </row>
    <row r="43" spans="2:16" ht="13.5" thickBot="1">
      <c r="B43" s="134" t="s">
        <v>128</v>
      </c>
      <c r="C43" s="35"/>
      <c r="D43" s="35"/>
      <c r="E43" s="35"/>
      <c r="F43" s="199">
        <f aca="true" t="shared" si="13" ref="F43:O43">+SUM(F38:F42)</f>
        <v>12.013021978021978</v>
      </c>
      <c r="G43" s="199">
        <f t="shared" si="13"/>
        <v>3.546442307692308</v>
      </c>
      <c r="H43" s="199">
        <f t="shared" si="13"/>
        <v>0.9211538461538462</v>
      </c>
      <c r="I43" s="199">
        <f t="shared" si="13"/>
        <v>16.48061813186813</v>
      </c>
      <c r="J43" s="199">
        <f t="shared" si="13"/>
        <v>38.400000000000006</v>
      </c>
      <c r="K43" s="199">
        <f t="shared" si="13"/>
        <v>4.896153846153846</v>
      </c>
      <c r="L43" s="199">
        <f t="shared" si="13"/>
        <v>10.450000000000001</v>
      </c>
      <c r="M43" s="199">
        <f t="shared" si="13"/>
        <v>33.649</v>
      </c>
      <c r="N43" s="199">
        <f t="shared" si="13"/>
        <v>87.39515384615385</v>
      </c>
      <c r="O43" s="199">
        <f t="shared" si="13"/>
        <v>103.87577197802196</v>
      </c>
      <c r="P43" s="14"/>
    </row>
    <row r="44" spans="2:16" ht="12.75">
      <c r="B44" s="1" t="s">
        <v>131</v>
      </c>
      <c r="P44" s="14"/>
    </row>
    <row r="45" ht="12.75">
      <c r="N45" s="25"/>
    </row>
  </sheetData>
  <sheetProtection/>
  <mergeCells count="11">
    <mergeCell ref="F4:P4"/>
    <mergeCell ref="B24:B25"/>
    <mergeCell ref="C24:C25"/>
    <mergeCell ref="D24:D25"/>
    <mergeCell ref="E24:E25"/>
    <mergeCell ref="F25:O25"/>
    <mergeCell ref="B2:H2"/>
    <mergeCell ref="B3:B4"/>
    <mergeCell ref="C3:C4"/>
    <mergeCell ref="D3:D4"/>
    <mergeCell ref="E3:E4"/>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2:K40"/>
  <sheetViews>
    <sheetView workbookViewId="0" topLeftCell="A10">
      <selection activeCell="F14" sqref="F14"/>
    </sheetView>
  </sheetViews>
  <sheetFormatPr defaultColWidth="9.140625" defaultRowHeight="15"/>
  <cols>
    <col min="1" max="1" width="5.7109375" style="1" customWidth="1"/>
    <col min="2" max="2" width="40.7109375" style="1" customWidth="1"/>
    <col min="3" max="3" width="15.8515625" style="1" customWidth="1"/>
    <col min="4" max="4" width="17.421875" style="1" customWidth="1"/>
    <col min="5" max="5" width="4.421875" style="119" customWidth="1"/>
    <col min="6" max="6" width="15.8515625" style="1" customWidth="1"/>
    <col min="7" max="7" width="21.421875" style="120" customWidth="1"/>
    <col min="8" max="8" width="4.421875" style="1" customWidth="1"/>
    <col min="9" max="9" width="20.7109375" style="1" customWidth="1"/>
    <col min="10" max="10" width="11.8515625" style="1" customWidth="1"/>
    <col min="11" max="16384" width="9.140625" style="1" customWidth="1"/>
  </cols>
  <sheetData>
    <row r="2" spans="2:7" ht="18.75" customHeight="1">
      <c r="B2" s="225" t="s">
        <v>233</v>
      </c>
      <c r="C2" s="225"/>
      <c r="D2" s="225"/>
      <c r="E2" s="225"/>
      <c r="F2" s="225"/>
      <c r="G2" s="225"/>
    </row>
    <row r="3" spans="2:11" ht="36">
      <c r="B3" s="99"/>
      <c r="C3" s="100" t="s">
        <v>132</v>
      </c>
      <c r="D3" s="100" t="s">
        <v>133</v>
      </c>
      <c r="E3" s="101"/>
      <c r="F3" s="100" t="s">
        <v>62</v>
      </c>
      <c r="G3" s="102" t="s">
        <v>128</v>
      </c>
      <c r="I3" s="103" t="s">
        <v>134</v>
      </c>
      <c r="J3" s="104">
        <f>Budget!C4</f>
        <v>75</v>
      </c>
      <c r="K3" s="1" t="s">
        <v>135</v>
      </c>
    </row>
    <row r="4" spans="2:7" ht="18" customHeight="1">
      <c r="B4" s="105" t="s">
        <v>136</v>
      </c>
      <c r="C4" s="158"/>
      <c r="D4" s="106"/>
      <c r="E4" s="107"/>
      <c r="F4" s="158"/>
      <c r="G4" s="162"/>
    </row>
    <row r="5" spans="2:9" ht="18" customHeight="1">
      <c r="B5" s="3" t="s">
        <v>137</v>
      </c>
      <c r="C5" s="159"/>
      <c r="D5" s="108"/>
      <c r="E5" s="109"/>
      <c r="F5" s="163"/>
      <c r="G5" s="164">
        <f>SUM(F6:F9)</f>
        <v>166.265</v>
      </c>
      <c r="I5" s="25"/>
    </row>
    <row r="6" spans="2:9" ht="12.75">
      <c r="B6" s="23" t="s">
        <v>138</v>
      </c>
      <c r="C6" s="159"/>
      <c r="D6" s="108"/>
      <c r="E6" s="109"/>
      <c r="F6" s="165">
        <f>+'Selected Inputs'!D26</f>
        <v>10</v>
      </c>
      <c r="G6" s="164"/>
      <c r="I6" s="25"/>
    </row>
    <row r="7" spans="2:9" ht="12.75">
      <c r="B7" s="23" t="s">
        <v>139</v>
      </c>
      <c r="C7" s="158">
        <f>'Selected Inputs'!D15</f>
        <v>0.48299999999999993</v>
      </c>
      <c r="D7" s="104">
        <v>80</v>
      </c>
      <c r="E7" s="111" t="s">
        <v>140</v>
      </c>
      <c r="F7" s="165">
        <f>+C7*D7</f>
        <v>38.63999999999999</v>
      </c>
      <c r="G7" s="162"/>
      <c r="I7" s="112"/>
    </row>
    <row r="8" spans="2:9" ht="12.75">
      <c r="B8" s="23" t="s">
        <v>141</v>
      </c>
      <c r="C8" s="158">
        <f>'Selected Inputs'!D16</f>
        <v>0.5175</v>
      </c>
      <c r="D8" s="104">
        <v>150</v>
      </c>
      <c r="E8" s="111" t="s">
        <v>140</v>
      </c>
      <c r="F8" s="165">
        <f>+C8*D8</f>
        <v>77.625</v>
      </c>
      <c r="G8" s="162"/>
      <c r="I8" s="112"/>
    </row>
    <row r="9" spans="2:9" ht="12.75">
      <c r="B9" s="23" t="s">
        <v>142</v>
      </c>
      <c r="C9" s="158">
        <f>'Selected Inputs'!D21</f>
        <v>1</v>
      </c>
      <c r="D9" s="104">
        <v>40</v>
      </c>
      <c r="E9" s="111" t="s">
        <v>140</v>
      </c>
      <c r="F9" s="165">
        <f>+C9*D9</f>
        <v>40</v>
      </c>
      <c r="G9" s="162"/>
      <c r="I9" s="112"/>
    </row>
    <row r="10" spans="2:9" ht="18" customHeight="1">
      <c r="B10" s="3" t="s">
        <v>143</v>
      </c>
      <c r="C10" s="159"/>
      <c r="D10" s="108"/>
      <c r="E10" s="109"/>
      <c r="F10" s="166"/>
      <c r="G10" s="164">
        <f>+SUM(F11:F12)</f>
        <v>575</v>
      </c>
      <c r="I10" s="112"/>
    </row>
    <row r="11" spans="2:7" ht="12.75">
      <c r="B11" s="23" t="s">
        <v>144</v>
      </c>
      <c r="C11" s="158"/>
      <c r="D11" s="110"/>
      <c r="E11" s="111"/>
      <c r="F11" s="165">
        <f>+'Selected Inputs'!D29</f>
        <v>175</v>
      </c>
      <c r="G11" s="162"/>
    </row>
    <row r="12" spans="2:7" ht="12.75">
      <c r="B12" s="23" t="s">
        <v>145</v>
      </c>
      <c r="C12" s="160"/>
      <c r="D12" s="113"/>
      <c r="E12" s="111"/>
      <c r="F12" s="165">
        <f>+'Selected Inputs'!D45</f>
        <v>400</v>
      </c>
      <c r="G12" s="162"/>
    </row>
    <row r="13" spans="2:7" ht="12.75">
      <c r="B13" s="3" t="s">
        <v>146</v>
      </c>
      <c r="C13" s="160"/>
      <c r="D13" s="113"/>
      <c r="E13" s="111"/>
      <c r="F13" s="165"/>
      <c r="G13" s="164">
        <f>SUM(F14:F16)</f>
        <v>187.5</v>
      </c>
    </row>
    <row r="14" spans="2:7" ht="12.75">
      <c r="B14" s="23" t="s">
        <v>120</v>
      </c>
      <c r="C14" s="160"/>
      <c r="D14" s="113"/>
      <c r="E14" s="111"/>
      <c r="F14" s="165">
        <f>'Selected Inputs'!D38</f>
        <v>60</v>
      </c>
      <c r="G14" s="164"/>
    </row>
    <row r="15" spans="2:7" ht="12.75">
      <c r="B15" s="23" t="s">
        <v>147</v>
      </c>
      <c r="C15" s="160"/>
      <c r="D15" s="113"/>
      <c r="E15" s="111"/>
      <c r="F15" s="165">
        <f>'Selected Inputs'!D32</f>
        <v>90</v>
      </c>
      <c r="G15" s="164"/>
    </row>
    <row r="16" spans="2:7" ht="12.75">
      <c r="B16" s="23" t="s">
        <v>148</v>
      </c>
      <c r="C16" s="160"/>
      <c r="D16" s="113"/>
      <c r="E16" s="111"/>
      <c r="F16" s="165">
        <f>'Selected Inputs'!D30</f>
        <v>37.5</v>
      </c>
      <c r="G16" s="164"/>
    </row>
    <row r="17" spans="2:7" ht="12.75">
      <c r="B17" s="3" t="s">
        <v>149</v>
      </c>
      <c r="C17" s="160"/>
      <c r="D17" s="113"/>
      <c r="E17" s="111"/>
      <c r="F17" s="165"/>
      <c r="G17" s="164">
        <f>+SUM(F18:F19)</f>
        <v>201.6</v>
      </c>
    </row>
    <row r="18" spans="2:7" ht="12.75">
      <c r="B18" s="23" t="s">
        <v>150</v>
      </c>
      <c r="C18" s="160">
        <f>+'Selected Inputs'!D14</f>
        <v>0.74</v>
      </c>
      <c r="D18" s="104">
        <v>240</v>
      </c>
      <c r="E18" s="111" t="s">
        <v>140</v>
      </c>
      <c r="F18" s="165">
        <f>+C18*D18</f>
        <v>177.6</v>
      </c>
      <c r="G18" s="162"/>
    </row>
    <row r="19" spans="2:7" ht="12.75">
      <c r="B19" s="23" t="s">
        <v>142</v>
      </c>
      <c r="C19" s="160">
        <f>+'Selected Inputs'!D21</f>
        <v>1</v>
      </c>
      <c r="D19" s="104">
        <v>24</v>
      </c>
      <c r="E19" s="111" t="s">
        <v>140</v>
      </c>
      <c r="F19" s="165">
        <f>+C19*D19</f>
        <v>24</v>
      </c>
      <c r="G19" s="162"/>
    </row>
    <row r="20" spans="2:7" ht="12.75">
      <c r="B20" s="3" t="s">
        <v>151</v>
      </c>
      <c r="C20" s="158"/>
      <c r="D20" s="104"/>
      <c r="E20" s="111"/>
      <c r="F20" s="148"/>
      <c r="G20" s="164">
        <f>+F21</f>
        <v>10</v>
      </c>
    </row>
    <row r="21" spans="2:7" ht="12.75">
      <c r="B21" s="23" t="s">
        <v>152</v>
      </c>
      <c r="C21" s="158"/>
      <c r="D21" s="104"/>
      <c r="E21" s="111"/>
      <c r="F21" s="165">
        <f>+'Selected Inputs'!D31</f>
        <v>10</v>
      </c>
      <c r="G21" s="164"/>
    </row>
    <row r="22" spans="2:7" ht="12.75">
      <c r="B22" s="3" t="s">
        <v>153</v>
      </c>
      <c r="C22" s="158"/>
      <c r="D22" s="104"/>
      <c r="E22" s="111"/>
      <c r="F22" s="148"/>
      <c r="G22" s="164">
        <f>SUM(F23:F26)</f>
        <v>56.574999999999996</v>
      </c>
    </row>
    <row r="23" spans="2:7" ht="12.75">
      <c r="B23" s="23" t="s">
        <v>154</v>
      </c>
      <c r="C23" s="158"/>
      <c r="D23" s="104"/>
      <c r="E23" s="111"/>
      <c r="F23" s="165">
        <f>'Selected Inputs'!D27</f>
        <v>10</v>
      </c>
      <c r="G23" s="164"/>
    </row>
    <row r="24" spans="2:7" ht="12.75">
      <c r="B24" s="23" t="s">
        <v>196</v>
      </c>
      <c r="C24" s="158">
        <f>('Selected Inputs'!D8)/16</f>
        <v>6.8999999999999995</v>
      </c>
      <c r="D24" s="104">
        <v>4</v>
      </c>
      <c r="E24" s="111" t="s">
        <v>155</v>
      </c>
      <c r="F24" s="165">
        <f>+C24*D24</f>
        <v>27.599999999999998</v>
      </c>
      <c r="G24" s="164"/>
    </row>
    <row r="25" spans="2:7" ht="12.75">
      <c r="B25" s="23" t="s">
        <v>156</v>
      </c>
      <c r="C25" s="158">
        <f>('Selected Inputs'!D11)/4</f>
        <v>3.1625</v>
      </c>
      <c r="D25" s="104">
        <v>1</v>
      </c>
      <c r="E25" s="111" t="s">
        <v>26</v>
      </c>
      <c r="F25" s="165">
        <f>+C25*D25</f>
        <v>3.1625</v>
      </c>
      <c r="G25" s="164"/>
    </row>
    <row r="26" spans="2:7" ht="12.75">
      <c r="B26" s="23" t="s">
        <v>205</v>
      </c>
      <c r="C26" s="158">
        <f>('Selected Inputs'!D18)/128</f>
        <v>0.98828125</v>
      </c>
      <c r="D26" s="104">
        <v>16</v>
      </c>
      <c r="E26" s="111" t="s">
        <v>155</v>
      </c>
      <c r="F26" s="165">
        <f>+C26*D26</f>
        <v>15.8125</v>
      </c>
      <c r="G26" s="164"/>
    </row>
    <row r="27" spans="2:7" ht="12.75">
      <c r="B27" s="3" t="s">
        <v>27</v>
      </c>
      <c r="C27" s="158"/>
      <c r="D27" s="104"/>
      <c r="E27" s="111"/>
      <c r="F27" s="165"/>
      <c r="G27" s="164">
        <f>+SUM(F28:F28)</f>
        <v>50</v>
      </c>
    </row>
    <row r="28" spans="2:7" ht="12.75">
      <c r="B28" s="23" t="s">
        <v>28</v>
      </c>
      <c r="C28" s="158"/>
      <c r="D28" s="104"/>
      <c r="E28" s="111"/>
      <c r="F28" s="165">
        <f>+'Selected Inputs'!D46</f>
        <v>50</v>
      </c>
      <c r="G28" s="162"/>
    </row>
    <row r="29" spans="2:7" ht="12.75">
      <c r="B29" s="3" t="s">
        <v>29</v>
      </c>
      <c r="C29" s="158"/>
      <c r="D29" s="104"/>
      <c r="E29" s="111"/>
      <c r="F29" s="148"/>
      <c r="G29" s="164">
        <f>SUM(F30:F32)</f>
        <v>84.75</v>
      </c>
    </row>
    <row r="30" spans="2:7" ht="12.75">
      <c r="B30" s="23" t="s">
        <v>170</v>
      </c>
      <c r="C30" s="158"/>
      <c r="D30" s="104"/>
      <c r="E30" s="111"/>
      <c r="F30" s="165">
        <f>'Selected Inputs'!D25</f>
        <v>10</v>
      </c>
      <c r="G30" s="164"/>
    </row>
    <row r="31" spans="2:7" ht="18" customHeight="1">
      <c r="B31" s="23" t="s">
        <v>30</v>
      </c>
      <c r="C31" s="158">
        <f>'Selected Inputs'!D6</f>
        <v>49.75</v>
      </c>
      <c r="D31" s="104">
        <v>1</v>
      </c>
      <c r="E31" s="111" t="s">
        <v>140</v>
      </c>
      <c r="F31" s="165">
        <f>+C31*D31</f>
        <v>49.75</v>
      </c>
      <c r="G31" s="164"/>
    </row>
    <row r="32" spans="2:7" ht="18" customHeight="1">
      <c r="B32" s="23" t="s">
        <v>197</v>
      </c>
      <c r="C32" s="158">
        <f>'Selected Inputs'!D10</f>
        <v>6.25</v>
      </c>
      <c r="D32" s="104">
        <v>4</v>
      </c>
      <c r="E32" s="111" t="s">
        <v>155</v>
      </c>
      <c r="F32" s="165">
        <f>+C32*D32</f>
        <v>25</v>
      </c>
      <c r="G32" s="164"/>
    </row>
    <row r="33" spans="2:7" ht="18" customHeight="1">
      <c r="B33" s="3" t="s">
        <v>31</v>
      </c>
      <c r="C33" s="158"/>
      <c r="D33" s="104"/>
      <c r="E33" s="111"/>
      <c r="F33" s="165"/>
      <c r="G33" s="164">
        <f>SUM(F34:F34)</f>
        <v>450</v>
      </c>
    </row>
    <row r="34" spans="2:7" ht="18" customHeight="1">
      <c r="B34" s="23" t="s">
        <v>45</v>
      </c>
      <c r="C34" s="158">
        <f>+'Selected Inputs'!D28</f>
        <v>6</v>
      </c>
      <c r="D34" s="114">
        <f>J3</f>
        <v>75</v>
      </c>
      <c r="E34" s="111" t="s">
        <v>140</v>
      </c>
      <c r="F34" s="167">
        <f>+C34*D34</f>
        <v>450</v>
      </c>
      <c r="G34" s="162"/>
    </row>
    <row r="35" spans="2:7" ht="18" customHeight="1">
      <c r="B35" s="3" t="s">
        <v>32</v>
      </c>
      <c r="C35" s="158">
        <f>+'Selected Inputs'!D42</f>
        <v>0.05</v>
      </c>
      <c r="D35" s="114">
        <f>J3</f>
        <v>75</v>
      </c>
      <c r="E35" s="111" t="s">
        <v>140</v>
      </c>
      <c r="F35" s="165">
        <f>+C35*D35</f>
        <v>3.75</v>
      </c>
      <c r="G35" s="164">
        <f>+F35</f>
        <v>3.75</v>
      </c>
    </row>
    <row r="36" spans="2:7" ht="18" customHeight="1">
      <c r="B36" s="3" t="s">
        <v>158</v>
      </c>
      <c r="C36" s="158"/>
      <c r="D36" s="104"/>
      <c r="E36" s="111"/>
      <c r="F36" s="165"/>
      <c r="G36" s="164">
        <f>+'Selected Inputs'!D43</f>
        <v>50</v>
      </c>
    </row>
    <row r="37" spans="2:7" ht="18" customHeight="1">
      <c r="B37" s="3" t="s">
        <v>159</v>
      </c>
      <c r="C37" s="158"/>
      <c r="D37" s="104"/>
      <c r="E37" s="111"/>
      <c r="F37" s="165"/>
      <c r="G37" s="164">
        <f>+'Selected Inputs'!D39</f>
        <v>400</v>
      </c>
    </row>
    <row r="38" spans="2:7" ht="18" customHeight="1">
      <c r="B38" s="3" t="s">
        <v>78</v>
      </c>
      <c r="C38" s="158"/>
      <c r="D38" s="104"/>
      <c r="E38" s="111"/>
      <c r="F38" s="165"/>
      <c r="G38" s="164">
        <f>+'Selected Inputs'!D41</f>
        <v>100</v>
      </c>
    </row>
    <row r="39" spans="2:7" ht="18" customHeight="1" thickBot="1">
      <c r="B39" s="35" t="s">
        <v>53</v>
      </c>
      <c r="C39" s="161"/>
      <c r="D39" s="115"/>
      <c r="E39" s="116"/>
      <c r="F39" s="168"/>
      <c r="G39" s="169">
        <f>+'Selected Inputs'!D35</f>
        <v>14</v>
      </c>
    </row>
    <row r="40" spans="3:11" s="14" customFormat="1" ht="12.75">
      <c r="C40" s="32"/>
      <c r="D40" s="32"/>
      <c r="E40" s="117"/>
      <c r="F40" s="32"/>
      <c r="G40" s="118"/>
      <c r="H40" s="1"/>
      <c r="I40" s="1"/>
      <c r="J40" s="1"/>
      <c r="K40" s="1"/>
    </row>
  </sheetData>
  <sheetProtection/>
  <mergeCells count="1">
    <mergeCell ref="B2:G2"/>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B2:K57"/>
  <sheetViews>
    <sheetView workbookViewId="0" topLeftCell="A12">
      <selection activeCell="G4" sqref="G4"/>
    </sheetView>
  </sheetViews>
  <sheetFormatPr defaultColWidth="9.140625" defaultRowHeight="15"/>
  <cols>
    <col min="1" max="1" width="5.7109375" style="1" customWidth="1"/>
    <col min="2" max="2" width="40.7109375" style="1" customWidth="1"/>
    <col min="3" max="4" width="15.8515625" style="1" customWidth="1"/>
    <col min="5" max="5" width="4.421875" style="119" customWidth="1"/>
    <col min="6" max="6" width="15.8515625" style="1" customWidth="1"/>
    <col min="7" max="7" width="15.8515625" style="120" customWidth="1"/>
    <col min="8" max="8" width="4.421875" style="1" customWidth="1"/>
    <col min="9" max="9" width="20.7109375" style="1" customWidth="1"/>
    <col min="10" max="10" width="11.8515625" style="1" customWidth="1"/>
    <col min="11" max="16384" width="9.140625" style="1" customWidth="1"/>
  </cols>
  <sheetData>
    <row r="2" spans="2:7" ht="18.75" customHeight="1">
      <c r="B2" s="225" t="s">
        <v>252</v>
      </c>
      <c r="C2" s="225"/>
      <c r="D2" s="225"/>
      <c r="E2" s="225"/>
      <c r="F2" s="225"/>
      <c r="G2" s="225"/>
    </row>
    <row r="3" spans="2:11" ht="36">
      <c r="B3" s="99"/>
      <c r="C3" s="100" t="s">
        <v>132</v>
      </c>
      <c r="D3" s="100" t="s">
        <v>133</v>
      </c>
      <c r="E3" s="101"/>
      <c r="F3" s="100" t="s">
        <v>62</v>
      </c>
      <c r="G3" s="102" t="s">
        <v>128</v>
      </c>
      <c r="I3" s="103" t="s">
        <v>160</v>
      </c>
      <c r="J3" s="104">
        <f>Budget!E4</f>
        <v>130</v>
      </c>
      <c r="K3" s="1" t="s">
        <v>135</v>
      </c>
    </row>
    <row r="4" spans="2:7" ht="18" customHeight="1">
      <c r="B4" s="105" t="s">
        <v>161</v>
      </c>
      <c r="C4" s="158"/>
      <c r="D4" s="106"/>
      <c r="E4" s="107"/>
      <c r="F4" s="158"/>
      <c r="G4" s="162"/>
    </row>
    <row r="5" spans="2:9" ht="18" customHeight="1">
      <c r="B5" s="3" t="s">
        <v>162</v>
      </c>
      <c r="C5" s="148"/>
      <c r="D5" s="104"/>
      <c r="E5" s="111"/>
      <c r="F5" s="158"/>
      <c r="G5" s="164">
        <f>+SUM(F6:F10)</f>
        <v>75.55</v>
      </c>
      <c r="I5" s="25"/>
    </row>
    <row r="6" spans="2:9" ht="15" customHeight="1">
      <c r="B6" s="23" t="s">
        <v>154</v>
      </c>
      <c r="C6" s="148"/>
      <c r="D6" s="104"/>
      <c r="E6" s="111"/>
      <c r="F6" s="158">
        <f>+'Selected Inputs'!D27</f>
        <v>10</v>
      </c>
      <c r="G6" s="164"/>
      <c r="I6" s="25"/>
    </row>
    <row r="7" spans="2:9" ht="15" customHeight="1">
      <c r="B7" s="23" t="s">
        <v>196</v>
      </c>
      <c r="C7" s="148">
        <f>('Selected Inputs'!D8)/16</f>
        <v>6.8999999999999995</v>
      </c>
      <c r="D7" s="104">
        <v>3</v>
      </c>
      <c r="E7" s="111" t="s">
        <v>155</v>
      </c>
      <c r="F7" s="158">
        <f>+C7*D7</f>
        <v>20.7</v>
      </c>
      <c r="G7" s="164"/>
      <c r="I7" s="25"/>
    </row>
    <row r="8" spans="2:9" ht="15" customHeight="1">
      <c r="B8" s="23" t="s">
        <v>156</v>
      </c>
      <c r="C8" s="148">
        <f>('Selected Inputs'!D11)/4</f>
        <v>3.1625</v>
      </c>
      <c r="D8" s="104">
        <v>1</v>
      </c>
      <c r="E8" s="111" t="s">
        <v>26</v>
      </c>
      <c r="F8" s="158">
        <f>+C8*D8</f>
        <v>3.1625</v>
      </c>
      <c r="G8" s="164"/>
      <c r="I8" s="25"/>
    </row>
    <row r="9" spans="2:9" ht="15" customHeight="1">
      <c r="B9" s="23" t="s">
        <v>163</v>
      </c>
      <c r="C9" s="148">
        <f>('Selected Inputs'!D12)/8</f>
        <v>5.31875</v>
      </c>
      <c r="D9" s="104">
        <v>2</v>
      </c>
      <c r="E9" s="111" t="s">
        <v>164</v>
      </c>
      <c r="F9" s="158">
        <f>+C9*D9</f>
        <v>10.6375</v>
      </c>
      <c r="G9" s="164"/>
      <c r="I9" s="25"/>
    </row>
    <row r="10" spans="2:9" ht="15" customHeight="1">
      <c r="B10" s="23" t="s">
        <v>206</v>
      </c>
      <c r="C10" s="148">
        <f>'Selected Inputs'!D19</f>
        <v>41.4</v>
      </c>
      <c r="D10" s="104">
        <v>0.75</v>
      </c>
      <c r="E10" s="111" t="s">
        <v>140</v>
      </c>
      <c r="F10" s="158">
        <f>+C10*D10</f>
        <v>31.049999999999997</v>
      </c>
      <c r="G10" s="164"/>
      <c r="I10" s="112"/>
    </row>
    <row r="11" spans="2:9" ht="18" customHeight="1">
      <c r="B11" s="3" t="s">
        <v>165</v>
      </c>
      <c r="C11" s="148"/>
      <c r="D11" s="104"/>
      <c r="E11" s="111"/>
      <c r="F11" s="158"/>
      <c r="G11" s="164">
        <f>+SUM(F12:F15)</f>
        <v>125.89999999999998</v>
      </c>
      <c r="I11" s="25"/>
    </row>
    <row r="12" spans="2:9" ht="15" customHeight="1">
      <c r="B12" s="23" t="s">
        <v>166</v>
      </c>
      <c r="C12" s="148"/>
      <c r="D12" s="104"/>
      <c r="E12" s="111"/>
      <c r="F12" s="158">
        <f>+'Selected Inputs'!D26</f>
        <v>10</v>
      </c>
      <c r="G12" s="164"/>
      <c r="I12" s="25"/>
    </row>
    <row r="13" spans="2:9" ht="15" customHeight="1">
      <c r="B13" s="23" t="s">
        <v>139</v>
      </c>
      <c r="C13" s="148">
        <f>+'Selected Inputs'!D15</f>
        <v>0.48299999999999993</v>
      </c>
      <c r="D13" s="104">
        <v>50</v>
      </c>
      <c r="E13" s="111" t="s">
        <v>140</v>
      </c>
      <c r="F13" s="158">
        <f>+C13*D13</f>
        <v>24.149999999999995</v>
      </c>
      <c r="G13" s="164"/>
      <c r="I13" s="25"/>
    </row>
    <row r="14" spans="2:9" ht="15" customHeight="1">
      <c r="B14" s="23" t="s">
        <v>141</v>
      </c>
      <c r="C14" s="148">
        <f>+'Selected Inputs'!D16</f>
        <v>0.5175</v>
      </c>
      <c r="D14" s="104">
        <v>100</v>
      </c>
      <c r="E14" s="111" t="s">
        <v>140</v>
      </c>
      <c r="F14" s="158">
        <f>+C14*D14</f>
        <v>51.74999999999999</v>
      </c>
      <c r="G14" s="164"/>
      <c r="I14" s="25"/>
    </row>
    <row r="15" spans="2:9" ht="15" customHeight="1">
      <c r="B15" s="23" t="s">
        <v>142</v>
      </c>
      <c r="C15" s="148">
        <f>+'Selected Inputs'!D21</f>
        <v>1</v>
      </c>
      <c r="D15" s="104">
        <v>40</v>
      </c>
      <c r="E15" s="111" t="s">
        <v>140</v>
      </c>
      <c r="F15" s="158">
        <f>+C15*D15</f>
        <v>40</v>
      </c>
      <c r="G15" s="164"/>
      <c r="I15" s="25"/>
    </row>
    <row r="16" spans="2:9" ht="18" customHeight="1">
      <c r="B16" s="3" t="s">
        <v>146</v>
      </c>
      <c r="C16" s="148"/>
      <c r="D16" s="104"/>
      <c r="E16" s="111"/>
      <c r="F16" s="158"/>
      <c r="G16" s="164">
        <f>SUM(F17:F19)</f>
        <v>187.5</v>
      </c>
      <c r="I16" s="112"/>
    </row>
    <row r="17" spans="2:9" ht="12.75">
      <c r="B17" s="23" t="s">
        <v>120</v>
      </c>
      <c r="C17" s="148"/>
      <c r="D17" s="104"/>
      <c r="E17" s="111"/>
      <c r="F17" s="158">
        <f>'Selected Inputs'!D38</f>
        <v>60</v>
      </c>
      <c r="G17" s="164"/>
      <c r="I17" s="112"/>
    </row>
    <row r="18" spans="2:9" ht="12.75">
      <c r="B18" s="23" t="s">
        <v>147</v>
      </c>
      <c r="C18" s="148"/>
      <c r="D18" s="104"/>
      <c r="E18" s="111"/>
      <c r="F18" s="158">
        <f>'Selected Inputs'!D32</f>
        <v>90</v>
      </c>
      <c r="G18" s="164"/>
      <c r="I18" s="112"/>
    </row>
    <row r="19" spans="2:9" ht="12.75">
      <c r="B19" s="23" t="s">
        <v>148</v>
      </c>
      <c r="C19" s="148"/>
      <c r="D19" s="104"/>
      <c r="E19" s="111"/>
      <c r="F19" s="158">
        <f>'Selected Inputs'!D30</f>
        <v>37.5</v>
      </c>
      <c r="G19" s="164"/>
      <c r="I19" s="112"/>
    </row>
    <row r="20" spans="2:7" ht="12.75">
      <c r="B20" s="3" t="s">
        <v>149</v>
      </c>
      <c r="C20" s="158"/>
      <c r="D20" s="106"/>
      <c r="E20" s="107"/>
      <c r="F20" s="158"/>
      <c r="G20" s="164">
        <f>+SUM(F21:F22)</f>
        <v>121</v>
      </c>
    </row>
    <row r="21" spans="2:7" ht="12.75">
      <c r="B21" s="23" t="s">
        <v>150</v>
      </c>
      <c r="C21" s="148">
        <f>+'Selected Inputs'!D14</f>
        <v>0.74</v>
      </c>
      <c r="D21" s="104">
        <v>150</v>
      </c>
      <c r="E21" s="111" t="s">
        <v>140</v>
      </c>
      <c r="F21" s="158">
        <f>+C21*D21</f>
        <v>111</v>
      </c>
      <c r="G21" s="164"/>
    </row>
    <row r="22" spans="2:9" ht="12.75">
      <c r="B22" s="23" t="s">
        <v>142</v>
      </c>
      <c r="C22" s="148">
        <f>+'Selected Inputs'!D21</f>
        <v>1</v>
      </c>
      <c r="D22" s="104">
        <v>10</v>
      </c>
      <c r="E22" s="111" t="s">
        <v>140</v>
      </c>
      <c r="F22" s="158">
        <f>+C22*D22</f>
        <v>10</v>
      </c>
      <c r="G22" s="164"/>
      <c r="I22" s="112"/>
    </row>
    <row r="23" spans="2:7" ht="12.75">
      <c r="B23" s="3" t="s">
        <v>151</v>
      </c>
      <c r="C23" s="148"/>
      <c r="D23" s="104"/>
      <c r="E23" s="111"/>
      <c r="F23" s="158"/>
      <c r="G23" s="164">
        <f>+F24</f>
        <v>10</v>
      </c>
    </row>
    <row r="24" spans="2:7" ht="12.75">
      <c r="B24" s="23" t="s">
        <v>152</v>
      </c>
      <c r="C24" s="158"/>
      <c r="D24" s="104"/>
      <c r="E24" s="111"/>
      <c r="F24" s="158">
        <v>10</v>
      </c>
      <c r="G24" s="162"/>
    </row>
    <row r="25" spans="2:7" ht="12.75">
      <c r="B25" s="3" t="s">
        <v>167</v>
      </c>
      <c r="C25" s="148"/>
      <c r="D25" s="104"/>
      <c r="E25" s="111"/>
      <c r="F25" s="158"/>
      <c r="G25" s="164">
        <f>+F26</f>
        <v>1.85546875</v>
      </c>
    </row>
    <row r="26" spans="2:7" ht="12.75">
      <c r="B26" s="23" t="s">
        <v>168</v>
      </c>
      <c r="C26" s="148">
        <f>('Selected Inputs'!D20)/128</f>
        <v>3.7109375</v>
      </c>
      <c r="D26" s="104">
        <v>0.5</v>
      </c>
      <c r="E26" s="111" t="s">
        <v>155</v>
      </c>
      <c r="F26" s="158">
        <f>+C26*D26</f>
        <v>1.85546875</v>
      </c>
      <c r="G26" s="164"/>
    </row>
    <row r="27" spans="2:7" ht="13.5">
      <c r="B27" s="3" t="s">
        <v>169</v>
      </c>
      <c r="C27" s="148"/>
      <c r="D27" s="104"/>
      <c r="E27" s="111"/>
      <c r="F27" s="158"/>
      <c r="G27" s="164">
        <f>+SUM(F28:F30)*0.3</f>
        <v>15.0140625</v>
      </c>
    </row>
    <row r="28" spans="2:8" ht="12.75">
      <c r="B28" s="23" t="s">
        <v>170</v>
      </c>
      <c r="C28" s="158"/>
      <c r="D28" s="104"/>
      <c r="E28" s="111"/>
      <c r="F28" s="158">
        <f>+'Selected Inputs'!D25</f>
        <v>10</v>
      </c>
      <c r="G28" s="162"/>
      <c r="H28" s="112"/>
    </row>
    <row r="29" spans="2:8" ht="12.75">
      <c r="B29" s="23" t="s">
        <v>171</v>
      </c>
      <c r="C29" s="158">
        <f>('Selected Inputs'!D9)/4</f>
        <v>24.0375</v>
      </c>
      <c r="D29" s="104">
        <v>1.25</v>
      </c>
      <c r="E29" s="111" t="s">
        <v>172</v>
      </c>
      <c r="F29" s="158">
        <f>+C29*D29</f>
        <v>30.046875</v>
      </c>
      <c r="G29" s="162"/>
      <c r="H29" s="112"/>
    </row>
    <row r="30" spans="2:8" ht="12.75">
      <c r="B30" s="23" t="s">
        <v>173</v>
      </c>
      <c r="C30" s="158">
        <f>+'Selected Inputs'!D17</f>
        <v>2.5</v>
      </c>
      <c r="D30" s="104">
        <v>4</v>
      </c>
      <c r="E30" s="111" t="s">
        <v>155</v>
      </c>
      <c r="F30" s="158">
        <f>+C30*D30</f>
        <v>10</v>
      </c>
      <c r="G30" s="162"/>
      <c r="H30" s="112"/>
    </row>
    <row r="31" spans="2:8" ht="12.75">
      <c r="B31" s="3" t="s">
        <v>174</v>
      </c>
      <c r="C31" s="158"/>
      <c r="D31" s="104"/>
      <c r="E31" s="111"/>
      <c r="F31" s="158"/>
      <c r="G31" s="164">
        <f>SUM(F32:F33)</f>
        <v>25.8125</v>
      </c>
      <c r="H31" s="112"/>
    </row>
    <row r="32" spans="2:8" ht="12.75">
      <c r="B32" s="23" t="s">
        <v>154</v>
      </c>
      <c r="C32" s="158"/>
      <c r="D32" s="104"/>
      <c r="E32" s="111"/>
      <c r="F32" s="158">
        <f>'Selected Inputs'!D27</f>
        <v>10</v>
      </c>
      <c r="G32" s="162"/>
      <c r="H32" s="112"/>
    </row>
    <row r="33" spans="2:8" ht="12.75">
      <c r="B33" s="23" t="s">
        <v>205</v>
      </c>
      <c r="C33" s="158">
        <f>('Selected Inputs'!D18)/128</f>
        <v>0.98828125</v>
      </c>
      <c r="D33" s="104">
        <v>16</v>
      </c>
      <c r="E33" s="111" t="s">
        <v>155</v>
      </c>
      <c r="F33" s="158">
        <f>C33*D33</f>
        <v>15.8125</v>
      </c>
      <c r="G33" s="162"/>
      <c r="H33" s="112"/>
    </row>
    <row r="34" spans="2:8" ht="13.5">
      <c r="B34" s="3" t="s">
        <v>175</v>
      </c>
      <c r="C34" s="148"/>
      <c r="D34" s="104"/>
      <c r="E34" s="111"/>
      <c r="F34" s="158"/>
      <c r="G34" s="164">
        <f>+F35</f>
        <v>480</v>
      </c>
      <c r="H34" s="112"/>
    </row>
    <row r="35" spans="2:8" ht="12.75">
      <c r="B35" s="23" t="s">
        <v>45</v>
      </c>
      <c r="C35" s="158">
        <f>'Selected Inputs'!D28</f>
        <v>6</v>
      </c>
      <c r="D35" s="104">
        <f>J3-50</f>
        <v>80</v>
      </c>
      <c r="E35" s="111" t="s">
        <v>140</v>
      </c>
      <c r="F35" s="158">
        <f>+C35*D35</f>
        <v>480</v>
      </c>
      <c r="G35" s="162"/>
      <c r="H35" s="112"/>
    </row>
    <row r="36" spans="2:8" ht="12.75">
      <c r="B36" s="3" t="s">
        <v>176</v>
      </c>
      <c r="C36" s="158"/>
      <c r="D36" s="114"/>
      <c r="E36" s="111"/>
      <c r="F36" s="158"/>
      <c r="G36" s="164">
        <f>F37</f>
        <v>111</v>
      </c>
      <c r="H36" s="112"/>
    </row>
    <row r="37" spans="2:8" ht="12.75">
      <c r="B37" s="23" t="s">
        <v>150</v>
      </c>
      <c r="C37" s="158">
        <f>'Selected Inputs'!D14</f>
        <v>0.74</v>
      </c>
      <c r="D37" s="104">
        <v>150</v>
      </c>
      <c r="E37" s="111" t="s">
        <v>140</v>
      </c>
      <c r="F37" s="158">
        <f>C37*D37</f>
        <v>111</v>
      </c>
      <c r="G37" s="162"/>
      <c r="H37" s="112"/>
    </row>
    <row r="38" spans="2:7" ht="12.75">
      <c r="B38" s="3" t="s">
        <v>177</v>
      </c>
      <c r="C38" s="148"/>
      <c r="D38" s="104"/>
      <c r="E38" s="111"/>
      <c r="F38" s="158"/>
      <c r="G38" s="164">
        <f>+SUM(F39:F41)*0.3</f>
        <v>16.455</v>
      </c>
    </row>
    <row r="39" spans="2:7" ht="12.75">
      <c r="B39" s="23" t="s">
        <v>154</v>
      </c>
      <c r="C39" s="158"/>
      <c r="D39" s="104"/>
      <c r="E39" s="111"/>
      <c r="F39" s="158">
        <f>'Selected Inputs'!D27</f>
        <v>10</v>
      </c>
      <c r="G39" s="162"/>
    </row>
    <row r="40" spans="2:7" ht="12.75">
      <c r="B40" s="23" t="s">
        <v>221</v>
      </c>
      <c r="C40" s="158">
        <f>('Selected Inputs'!D7)/8</f>
        <v>13.225</v>
      </c>
      <c r="D40" s="104">
        <v>3</v>
      </c>
      <c r="E40" s="111" t="s">
        <v>164</v>
      </c>
      <c r="F40" s="158">
        <f>+C40*D40</f>
        <v>39.675</v>
      </c>
      <c r="G40" s="162"/>
    </row>
    <row r="41" spans="2:8" ht="12.75">
      <c r="B41" s="23" t="s">
        <v>206</v>
      </c>
      <c r="C41" s="158">
        <f>'Selected Inputs'!D19</f>
        <v>41.4</v>
      </c>
      <c r="D41" s="121">
        <f>1/8</f>
        <v>0.125</v>
      </c>
      <c r="E41" s="111" t="s">
        <v>140</v>
      </c>
      <c r="F41" s="158">
        <f>+C41*D41</f>
        <v>5.175</v>
      </c>
      <c r="G41" s="162"/>
      <c r="H41" s="25"/>
    </row>
    <row r="42" spans="2:7" ht="13.5">
      <c r="B42" s="3" t="s">
        <v>178</v>
      </c>
      <c r="C42" s="148"/>
      <c r="D42" s="104"/>
      <c r="E42" s="111"/>
      <c r="F42" s="158"/>
      <c r="G42" s="164">
        <f>+SUM(F43:F45)*0.2</f>
        <v>9</v>
      </c>
    </row>
    <row r="43" spans="2:7" ht="12.75">
      <c r="B43" s="23" t="s">
        <v>170</v>
      </c>
      <c r="C43" s="158"/>
      <c r="D43" s="104"/>
      <c r="E43" s="111"/>
      <c r="F43" s="158">
        <f>+'Selected Inputs'!D25</f>
        <v>10</v>
      </c>
      <c r="G43" s="162"/>
    </row>
    <row r="44" spans="2:8" ht="12.75">
      <c r="B44" s="23" t="s">
        <v>197</v>
      </c>
      <c r="C44" s="158">
        <f>'Selected Inputs'!D10</f>
        <v>6.25</v>
      </c>
      <c r="D44" s="104">
        <v>4</v>
      </c>
      <c r="E44" s="111" t="s">
        <v>155</v>
      </c>
      <c r="F44" s="158">
        <f>+C44*D44</f>
        <v>25</v>
      </c>
      <c r="G44" s="162"/>
      <c r="H44" s="25"/>
    </row>
    <row r="45" spans="2:7" ht="12.75">
      <c r="B45" s="23" t="s">
        <v>173</v>
      </c>
      <c r="C45" s="158">
        <f>+'Selected Inputs'!D17</f>
        <v>2.5</v>
      </c>
      <c r="D45" s="104">
        <v>4</v>
      </c>
      <c r="E45" s="111" t="s">
        <v>155</v>
      </c>
      <c r="F45" s="158">
        <f>+C45*D45</f>
        <v>10</v>
      </c>
      <c r="G45" s="162"/>
    </row>
    <row r="46" spans="2:8" ht="13.5">
      <c r="B46" s="3" t="s">
        <v>179</v>
      </c>
      <c r="C46" s="148"/>
      <c r="D46" s="104"/>
      <c r="E46" s="111"/>
      <c r="F46" s="158"/>
      <c r="G46" s="164">
        <f>+F47</f>
        <v>300</v>
      </c>
      <c r="H46" s="112"/>
    </row>
    <row r="47" spans="2:8" ht="12.75">
      <c r="B47" s="23" t="s">
        <v>45</v>
      </c>
      <c r="C47" s="158">
        <f>+'Selected Inputs'!D28</f>
        <v>6</v>
      </c>
      <c r="D47" s="104">
        <f>J3-D35</f>
        <v>50</v>
      </c>
      <c r="E47" s="111" t="s">
        <v>140</v>
      </c>
      <c r="F47" s="158">
        <f>+C47*D47</f>
        <v>300</v>
      </c>
      <c r="G47" s="162"/>
      <c r="H47" s="112"/>
    </row>
    <row r="48" spans="2:7" ht="12.75">
      <c r="B48" s="3" t="s">
        <v>32</v>
      </c>
      <c r="C48" s="148">
        <f>+'Selected Inputs'!D42</f>
        <v>0.05</v>
      </c>
      <c r="D48" s="114">
        <f>J3</f>
        <v>130</v>
      </c>
      <c r="E48" s="111" t="s">
        <v>140</v>
      </c>
      <c r="F48" s="158">
        <f>+C48*D48</f>
        <v>6.5</v>
      </c>
      <c r="G48" s="164">
        <f>+F48</f>
        <v>6.5</v>
      </c>
    </row>
    <row r="49" spans="2:7" ht="12.75">
      <c r="B49" s="3" t="s">
        <v>180</v>
      </c>
      <c r="C49" s="148"/>
      <c r="D49" s="114"/>
      <c r="E49" s="111"/>
      <c r="F49" s="158"/>
      <c r="G49" s="164">
        <f>F50</f>
        <v>114.99999999999999</v>
      </c>
    </row>
    <row r="50" spans="2:7" ht="12.75">
      <c r="B50" s="23" t="s">
        <v>199</v>
      </c>
      <c r="C50" s="148">
        <f>'Selected Inputs'!D13</f>
        <v>114.99999999999999</v>
      </c>
      <c r="D50" s="114">
        <v>1</v>
      </c>
      <c r="E50" s="111" t="s">
        <v>181</v>
      </c>
      <c r="F50" s="158">
        <f>C50*D50</f>
        <v>114.99999999999999</v>
      </c>
      <c r="G50" s="164"/>
    </row>
    <row r="51" spans="2:7" ht="12.75">
      <c r="B51" s="3" t="s">
        <v>182</v>
      </c>
      <c r="C51" s="148"/>
      <c r="D51" s="104"/>
      <c r="E51" s="111"/>
      <c r="F51" s="158"/>
      <c r="G51" s="164">
        <f>+'Selected Inputs'!D44</f>
        <v>75</v>
      </c>
    </row>
    <row r="52" spans="2:7" ht="12.75">
      <c r="B52" s="3" t="s">
        <v>159</v>
      </c>
      <c r="C52" s="148"/>
      <c r="D52" s="104"/>
      <c r="E52" s="111"/>
      <c r="F52" s="158"/>
      <c r="G52" s="164">
        <f>+'Selected Inputs'!D39</f>
        <v>400</v>
      </c>
    </row>
    <row r="53" spans="2:7" ht="12.75">
      <c r="B53" s="3" t="s">
        <v>78</v>
      </c>
      <c r="C53" s="148"/>
      <c r="D53" s="104"/>
      <c r="E53" s="111"/>
      <c r="F53" s="158"/>
      <c r="G53" s="164">
        <f>+'Selected Inputs'!D41</f>
        <v>100</v>
      </c>
    </row>
    <row r="54" spans="2:7" ht="13.5" thickBot="1">
      <c r="B54" s="35" t="s">
        <v>53</v>
      </c>
      <c r="C54" s="170"/>
      <c r="D54" s="115"/>
      <c r="E54" s="116"/>
      <c r="F54" s="161"/>
      <c r="G54" s="169">
        <f>+'Selected Inputs'!D35</f>
        <v>14</v>
      </c>
    </row>
    <row r="55" ht="12.75">
      <c r="B55" s="1" t="s">
        <v>183</v>
      </c>
    </row>
    <row r="56" ht="12.75">
      <c r="B56" s="1" t="s">
        <v>184</v>
      </c>
    </row>
    <row r="57" ht="12.75">
      <c r="B57" s="1" t="s">
        <v>185</v>
      </c>
    </row>
  </sheetData>
  <sheetProtection/>
  <mergeCells count="1">
    <mergeCell ref="B2:G2"/>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D9"/>
  <sheetViews>
    <sheetView workbookViewId="0" topLeftCell="A1">
      <selection activeCell="E11" sqref="E11"/>
    </sheetView>
  </sheetViews>
  <sheetFormatPr defaultColWidth="9.140625" defaultRowHeight="15"/>
  <cols>
    <col min="1" max="1" width="9.140625" style="38" customWidth="1"/>
    <col min="2" max="2" width="26.8515625" style="38" bestFit="1" customWidth="1"/>
    <col min="3" max="3" width="16.00390625" style="38" customWidth="1"/>
    <col min="4" max="16384" width="9.140625" style="38" customWidth="1"/>
  </cols>
  <sheetData>
    <row r="1" spans="1:4" ht="13.5">
      <c r="A1" s="1"/>
      <c r="B1" s="1"/>
      <c r="C1" s="1"/>
      <c r="D1" s="1"/>
    </row>
    <row r="2" spans="1:4" ht="16.5" thickBot="1">
      <c r="A2" s="1"/>
      <c r="B2" s="226" t="s">
        <v>241</v>
      </c>
      <c r="C2" s="226"/>
      <c r="D2" s="1"/>
    </row>
    <row r="3" spans="1:4" ht="13.5">
      <c r="A3" s="1"/>
      <c r="B3" s="1" t="s">
        <v>222</v>
      </c>
      <c r="C3" s="156">
        <f>Budget!C42</f>
        <v>-1394.0780282005494</v>
      </c>
      <c r="D3" s="1"/>
    </row>
    <row r="4" spans="1:4" ht="13.5">
      <c r="A4" s="1"/>
      <c r="B4" s="1" t="s">
        <v>223</v>
      </c>
      <c r="C4" s="132">
        <v>3</v>
      </c>
      <c r="D4" s="1"/>
    </row>
    <row r="5" spans="1:4" ht="13.5">
      <c r="A5" s="1"/>
      <c r="B5" s="1" t="s">
        <v>113</v>
      </c>
      <c r="C5" s="132">
        <v>0.07</v>
      </c>
      <c r="D5" s="1"/>
    </row>
    <row r="6" spans="1:4" ht="13.5">
      <c r="A6" s="1"/>
      <c r="B6" s="1"/>
      <c r="C6" s="131"/>
      <c r="D6" s="1"/>
    </row>
    <row r="7" spans="1:4" ht="13.5">
      <c r="A7" s="1"/>
      <c r="B7" s="20" t="s">
        <v>242</v>
      </c>
      <c r="C7" s="157">
        <f>IF(C4=0," ",PMT(C5,C4,C3))</f>
        <v>531.2157547360371</v>
      </c>
      <c r="D7" s="1"/>
    </row>
    <row r="8" spans="1:4" ht="13.5">
      <c r="A8" s="1"/>
      <c r="B8" s="1"/>
      <c r="C8" s="14"/>
      <c r="D8" s="1"/>
    </row>
    <row r="9" spans="1:4" ht="13.5">
      <c r="A9" s="1"/>
      <c r="B9" s="1"/>
      <c r="C9" s="1"/>
      <c r="D9" s="1"/>
    </row>
  </sheetData>
  <sheetProtection/>
  <mergeCells count="1">
    <mergeCell ref="B2:C2"/>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Galinato, Suzette</dc:creator>
  <cp:keywords/>
  <dc:description/>
  <cp:lastModifiedBy>Sally O'Neal</cp:lastModifiedBy>
  <dcterms:created xsi:type="dcterms:W3CDTF">2011-05-23T22:29:39Z</dcterms:created>
  <dcterms:modified xsi:type="dcterms:W3CDTF">2012-09-05T00:14:15Z</dcterms:modified>
  <cp:category/>
  <cp:version/>
  <cp:contentType/>
  <cp:contentStatus/>
</cp:coreProperties>
</file>